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defaultThemeVersion="124226"/>
  <mc:AlternateContent xmlns:mc="http://schemas.openxmlformats.org/markup-compatibility/2006">
    <mc:Choice Requires="x15">
      <x15ac:absPath xmlns:x15ac="http://schemas.microsoft.com/office/spreadsheetml/2010/11/ac" url="C:\Users\andresm\Downloads\"/>
    </mc:Choice>
  </mc:AlternateContent>
  <xr:revisionPtr revIDLastSave="0" documentId="13_ncr:1_{DE857758-732D-4ECF-8B54-F1CB097A726C}" xr6:coauthVersionLast="47" xr6:coauthVersionMax="47" xr10:uidLastSave="{00000000-0000-0000-0000-000000000000}"/>
  <bookViews>
    <workbookView xWindow="33840" yWindow="0" windowWidth="25800" windowHeight="2100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2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years'!$A$1:$F$39</definedName>
    <definedName name="_xlnm.Print_Area" localSheetId="9">'Balance sheet 9 quarters'!$A$1:$J$37</definedName>
    <definedName name="_xlnm.Print_Area" localSheetId="6">'Capital 5 years'!$A$1:$F$53</definedName>
    <definedName name="_xlnm.Print_Area" localSheetId="12">'Capital 9 quarters'!$A$1:$J$51</definedName>
    <definedName name="_xlnm.Print_Area" localSheetId="0">Cover!$A$1:$N$70</definedName>
    <definedName name="_xlnm.Print_Area" localSheetId="13">Disclaimer!$A$1:$F$30</definedName>
    <definedName name="_xlnm.Print_Area" localSheetId="2">'Income statement 5 years'!$A$1:$F$36</definedName>
    <definedName name="_xlnm.Print_Area" localSheetId="8">'Income statement 9 quarters'!$A$1:$J$34</definedName>
    <definedName name="_xlnm.Print_Area" localSheetId="1">'KFI 5 Years'!$A$1:$F$46</definedName>
    <definedName name="_xlnm.Print_Area" localSheetId="7">'KFI 9 quarters'!$A$1:$J$48</definedName>
    <definedName name="_xlnm.Print_Area" localSheetId="5">'Loans to customers 5 years'!$A$1:$F$65</definedName>
    <definedName name="_xlnm.Print_Area" localSheetId="11">'Loans to customers 9 - quarters'!$A$2:$J$64</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23" l="1"/>
  <c r="I16" i="123"/>
  <c r="H16" i="123"/>
  <c r="G16" i="123"/>
  <c r="F16" i="123"/>
  <c r="E16" i="123"/>
  <c r="D16" i="123"/>
  <c r="C16" i="123"/>
  <c r="B16" i="123"/>
  <c r="I9" i="123"/>
  <c r="I18" i="123" s="1"/>
  <c r="H9" i="123"/>
  <c r="H18" i="123" s="1"/>
  <c r="G9" i="123"/>
  <c r="G18" i="123" s="1"/>
  <c r="F9" i="123"/>
  <c r="F18" i="123" s="1"/>
  <c r="E9" i="123"/>
  <c r="E18" i="123" s="1"/>
  <c r="D9" i="123"/>
  <c r="D18" i="123" s="1"/>
  <c r="C9" i="123"/>
  <c r="C18" i="123" s="1"/>
  <c r="B9" i="123"/>
  <c r="B18" i="123" s="1"/>
  <c r="B16" i="114" l="1"/>
  <c r="B9" i="114"/>
  <c r="B18" i="114" s="1"/>
  <c r="B29" i="108"/>
  <c r="R122" i="61" l="1"/>
  <c r="R121" i="61"/>
  <c r="L99" i="61"/>
  <c r="L73" i="61"/>
  <c r="L72" i="61"/>
  <c r="X46" i="61"/>
  <c r="X45" i="61"/>
  <c r="X44" i="61"/>
  <c r="X43" i="61"/>
  <c r="X42" i="61"/>
  <c r="X41" i="61"/>
  <c r="X40" i="61"/>
  <c r="X39" i="61"/>
  <c r="X38" i="61"/>
  <c r="X37" i="61"/>
  <c r="X36" i="61"/>
  <c r="X28" i="61"/>
  <c r="X27" i="61"/>
  <c r="X18" i="61"/>
  <c r="X17" i="61"/>
  <c r="X15" i="61"/>
  <c r="X14" i="61"/>
  <c r="X9" i="61"/>
  <c r="X8" i="61"/>
  <c r="X7" i="61"/>
  <c r="X6" i="61"/>
  <c r="X5" i="61"/>
  <c r="X4" i="61"/>
  <c r="L74" i="6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 r="F32" i="123" l="1"/>
  <c r="I31" i="123"/>
  <c r="F31" i="123"/>
  <c r="H30" i="123"/>
  <c r="F30" i="123"/>
  <c r="G29" i="123"/>
  <c r="H28" i="123"/>
  <c r="G24" i="123"/>
  <c r="F24" i="123"/>
  <c r="F23" i="123"/>
  <c r="H22" i="123"/>
  <c r="G22" i="123"/>
  <c r="F22" i="123"/>
  <c r="F25" i="123" s="1"/>
  <c r="E29" i="123"/>
  <c r="E28" i="123"/>
  <c r="D29" i="123"/>
  <c r="D32" i="123"/>
  <c r="C31" i="123"/>
  <c r="C30" i="123"/>
  <c r="C29" i="123"/>
  <c r="B32" i="123"/>
  <c r="B28" i="123"/>
  <c r="C23" i="123"/>
  <c r="B22" i="123"/>
  <c r="B23" i="123" l="1"/>
  <c r="E32" i="123"/>
  <c r="H24" i="123"/>
  <c r="B30" i="123"/>
  <c r="D28" i="123"/>
  <c r="E31" i="123"/>
  <c r="E23" i="123"/>
  <c r="H32" i="123"/>
  <c r="I24" i="123"/>
  <c r="B31" i="123"/>
  <c r="G30" i="123"/>
  <c r="I28" i="123"/>
  <c r="B29" i="123"/>
  <c r="B33" i="123" s="1"/>
  <c r="C32" i="123"/>
  <c r="E30" i="123"/>
  <c r="E33" i="123" s="1"/>
  <c r="E22" i="123"/>
  <c r="G28" i="123"/>
  <c r="H31" i="123"/>
  <c r="H23" i="123"/>
  <c r="C22" i="123"/>
  <c r="H29" i="123"/>
  <c r="I32" i="123"/>
  <c r="I23" i="123"/>
  <c r="B24" i="123"/>
  <c r="C28" i="123"/>
  <c r="D31" i="123"/>
  <c r="D23" i="123"/>
  <c r="F29" i="123"/>
  <c r="G32" i="123"/>
  <c r="I30" i="123"/>
  <c r="I22" i="123"/>
  <c r="I25" i="123" s="1"/>
  <c r="C24" i="123"/>
  <c r="D30" i="123"/>
  <c r="D22" i="123"/>
  <c r="E24" i="123"/>
  <c r="F28" i="123"/>
  <c r="F33" i="123" s="1"/>
  <c r="F35" i="123" s="1"/>
  <c r="G31" i="123"/>
  <c r="G23" i="123"/>
  <c r="G25" i="123" s="1"/>
  <c r="I29" i="123"/>
  <c r="B25" i="123"/>
  <c r="H25" i="123"/>
  <c r="H33" i="123" l="1"/>
  <c r="H35" i="123" s="1"/>
  <c r="C33" i="123"/>
  <c r="B35" i="123"/>
  <c r="G33" i="123"/>
  <c r="G35" i="123" s="1"/>
  <c r="D33" i="123"/>
  <c r="C25" i="123"/>
  <c r="C35" i="123" s="1"/>
  <c r="E25" i="123"/>
  <c r="E35" i="123" s="1"/>
  <c r="I33" i="123"/>
  <c r="I35" i="123" s="1"/>
  <c r="D24" i="123"/>
  <c r="D25" i="123"/>
  <c r="D35" i="123" l="1"/>
</calcChain>
</file>

<file path=xl/sharedStrings.xml><?xml version="1.0" encoding="utf-8"?>
<sst xmlns="http://schemas.openxmlformats.org/spreadsheetml/2006/main" count="1139" uniqueCount="431">
  <si>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</si>
  <si>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</si>
  <si>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</si>
  <si>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</si>
  <si>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</si>
  <si>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</si>
  <si>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</si>
  <si>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</si>
  <si>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</si>
  <si>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</si>
  <si>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</si>
  <si>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</si>
  <si>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</si>
  <si>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</si>
  <si>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</si>
  <si>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</si>
  <si>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</si>
  <si>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</si>
  <si>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</si>
  <si>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</si>
  <si>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</si>
  <si>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</si>
  <si>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</si>
  <si>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</si>
  <si>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</si>
  <si>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</si>
  <si>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</si>
  <si>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</si>
  <si>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</si>
  <si>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</si>
  <si>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</si>
  <si>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</si>
  <si>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</si>
  <si>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</si>
  <si>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</si>
  <si>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</si>
  <si>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</si>
  <si>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</si>
  <si>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</si>
  <si>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</si>
  <si>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</si>
  <si>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</si>
  <si>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</si>
  <si>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</si>
  <si>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</si>
  <si>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</si>
  <si>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</si>
  <si>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</si>
  <si>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</si>
  <si>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</si>
  <si>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</si>
  <si>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</si>
  <si>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</si>
  <si>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</si>
  <si>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</si>
  <si>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</si>
  <si>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</si>
  <si>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</si>
  <si>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</si>
  <si>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</si>
  <si>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</si>
  <si>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</si>
  <si>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</si>
  <si>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</si>
  <si>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</si>
  <si>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</si>
  <si>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</si>
  <si>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</si>
  <si>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</si>
  <si>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</si>
  <si>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</si>
  <si>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</si>
  <si>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</si>
  <si>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</si>
  <si>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</si>
  <si>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</si>
  <si>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</si>
  <si>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</si>
  <si>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</si>
  <si>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</si>
  <si>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</si>
  <si>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</si>
  <si>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</si>
  <si>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</si>
  <si>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</si>
  <si>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</si>
  <si>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</si>
  <si>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</si>
  <si>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</si>
  <si>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</si>
  <si>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</si>
  <si>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</si>
  <si>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</si>
  <si>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</si>
  <si>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</si>
  <si>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</si>
  <si>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</si>
  <si>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</si>
  <si>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</si>
  <si>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</si>
  <si>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</si>
  <si>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</si>
  <si>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</si>
  <si>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</si>
  <si>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</si>
  <si>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</si>
  <si>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</si>
  <si>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</si>
  <si>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</si>
  <si>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</si>
  <si>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</si>
  <si>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</si>
  <si>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</si>
  <si>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</si>
  <si>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</si>
  <si>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</si>
  <si>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</si>
  <si>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</si>
  <si>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</si>
  <si>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</si>
  <si>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</si>
  <si>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</si>
  <si>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</si>
  <si>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</si>
  <si>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</si>
  <si>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</si>
  <si>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</si>
  <si>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</si>
  <si>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</si>
  <si>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</si>
  <si>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</si>
  <si>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</si>
  <si>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</si>
  <si>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</si>
  <si>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</si>
  <si>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</si>
  <si>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</si>
  <si>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</si>
  <si>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</si>
  <si>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</si>
  <si>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</si>
  <si>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</si>
  <si>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</si>
  <si>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</si>
  <si>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</si>
  <si>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</si>
  <si>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</si>
  <si>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</si>
  <si>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</si>
  <si>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</si>
  <si>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</si>
  <si>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</si>
  <si>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</si>
  <si>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</si>
  <si>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</si>
  <si>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</si>
  <si>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</si>
  <si>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</si>
  <si>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</si>
  <si>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</si>
  <si>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</si>
  <si>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</si>
  <si>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</si>
  <si>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</si>
  <si>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</si>
  <si>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</si>
  <si>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</si>
  <si>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</si>
  <si>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</si>
  <si>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</si>
  <si>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</si>
  <si>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</si>
  <si>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</si>
  <si>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</si>
  <si>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</si>
  <si>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</si>
  <si>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</si>
  <si>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</si>
  <si>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</si>
  <si>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</si>
  <si>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</si>
  <si>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</si>
  <si>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</si>
  <si>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</si>
  <si>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</si>
  <si>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</si>
  <si>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</si>
  <si>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</si>
  <si>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</si>
  <si>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</si>
  <si>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</si>
  <si>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</si>
  <si>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</si>
  <si>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</si>
  <si>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</si>
  <si>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</si>
  <si>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</si>
  <si>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</si>
  <si>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</si>
  <si>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</si>
  <si>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</si>
  <si>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</si>
  <si>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</si>
  <si>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</si>
  <si>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</si>
  <si>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</si>
  <si>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</si>
  <si>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</si>
  <si>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</si>
  <si>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</si>
  <si>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</si>
  <si>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</si>
  <si>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</si>
  <si>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</si>
  <si>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</si>
  <si>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</si>
  <si>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</si>
  <si>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</si>
  <si>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</si>
  <si>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</si>
  <si>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</si>
  <si>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</si>
  <si>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</si>
  <si>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</si>
  <si>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</si>
  <si>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</si>
  <si>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</si>
  <si>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</si>
  <si>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</si>
  <si>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</si>
  <si>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</si>
  <si>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</si>
  <si>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</si>
  <si>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</si>
  <si>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</si>
  <si>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</si>
  <si>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</si>
  <si>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</si>
  <si>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</si>
  <si>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</si>
  <si>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</si>
  <si>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</si>
  <si>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</si>
  <si>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</si>
  <si>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</si>
  <si>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</si>
  <si>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</si>
  <si>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</si>
  <si>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</si>
  <si>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</si>
  <si>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</si>
  <si>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</si>
  <si>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</si>
  <si>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</si>
  <si>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</si>
  <si>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</si>
  <si>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</si>
  <si>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</si>
  <si>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</si>
  <si>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</si>
  <si>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</si>
  <si>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</si>
  <si>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</si>
  <si>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</si>
  <si>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</si>
  <si>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</si>
  <si>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</si>
  <si>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</si>
  <si>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</si>
  <si>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</si>
  <si>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</si>
  <si>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</si>
  <si>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2016</t>
  </si>
  <si>
    <t>Q1 2017</t>
  </si>
  <si>
    <t>Q2 2017</t>
  </si>
  <si>
    <t>Q3 2017</t>
  </si>
  <si>
    <t>Q4 2017</t>
  </si>
  <si>
    <t>Q1 2018</t>
  </si>
  <si>
    <t>Q2 2018</t>
  </si>
  <si>
    <t>Q3 2018</t>
  </si>
  <si>
    <t>Q4 2018</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</si>
  <si>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</si>
  <si>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</si>
  <si>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</si>
  <si>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</si>
  <si>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</si>
  <si>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</si>
  <si>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</si>
  <si>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</si>
  <si>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</si>
  <si>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</si>
  <si>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</si>
  <si>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</si>
  <si>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</si>
  <si>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</si>
  <si>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</si>
  <si>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</si>
  <si>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</si>
  <si>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</si>
  <si>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</si>
  <si>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</si>
  <si>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</si>
  <si>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</si>
  <si>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</si>
  <si>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</si>
  <si>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</si>
  <si>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</si>
  <si>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</si>
  <si>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</si>
  <si>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</si>
  <si>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</si>
  <si>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</si>
  <si>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</si>
  <si>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</si>
  <si>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</si>
  <si>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</si>
  <si>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</si>
  <si>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</si>
  <si>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</si>
  <si>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</si>
  <si>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</si>
  <si>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</si>
  <si>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</si>
  <si>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</si>
  <si>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</si>
  <si>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</si>
  <si>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</si>
  <si>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</si>
  <si>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</si>
  <si>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</si>
  <si>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</si>
  <si>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</si>
  <si>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</si>
  <si>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</si>
  <si>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</si>
  <si>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</si>
  <si>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</si>
  <si>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</si>
  <si>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</si>
  <si>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</si>
  <si>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</si>
  <si>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</si>
  <si>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</si>
  <si>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</si>
  <si>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</si>
  <si>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</si>
  <si>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</si>
  <si>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</si>
  <si>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</si>
  <si>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</si>
  <si>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</si>
  <si>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</si>
  <si>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</si>
  <si>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</si>
  <si>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</si>
  <si>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</si>
  <si>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</si>
  <si>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</si>
  <si>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</si>
  <si>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</si>
  <si>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</si>
  <si>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</si>
  <si>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</si>
  <si>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</si>
  <si>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</si>
  <si>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</si>
  <si>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</si>
  <si>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</si>
  <si>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</si>
  <si>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</si>
  <si>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</si>
  <si>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</si>
  <si>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</si>
  <si>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</si>
  <si>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</si>
  <si>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</si>
  <si>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</si>
  <si>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</si>
  <si>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</si>
  <si>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</si>
  <si>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</si>
  <si>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</si>
  <si>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</si>
  <si>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</si>
  <si>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</si>
  <si>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</si>
  <si>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</si>
  <si>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</si>
  <si>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</si>
  <si>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</si>
  <si>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</si>
  <si>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</si>
  <si>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</si>
  <si>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</si>
  <si>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</si>
  <si>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</si>
  <si>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</si>
  <si>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Credit Risk, loans</t>
  </si>
  <si>
    <t>General credit risk adjustments</t>
  </si>
  <si>
    <t>Non-controlling interest not eligible for inclusion in CET1 capital</t>
  </si>
  <si>
    <t>Net insurance income</t>
  </si>
  <si>
    <t>Market Risk due to currency imbalance</t>
  </si>
  <si>
    <t>CET 1 ratio</t>
  </si>
  <si>
    <t>Income tax expense</t>
  </si>
  <si>
    <t>Non-current assets and disp. groups held for sale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</si>
  <si>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</si>
  <si>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</si>
  <si>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</si>
  <si>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</si>
  <si>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</si>
  <si>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2) Not disclosed seperately in Q2 2016, Q1 2016, Q4 2015</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</si>
  <si>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</si>
  <si>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</si>
  <si>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</si>
  <si>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</si>
  <si>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</si>
  <si>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</si>
  <si>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</si>
  <si>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</si>
  <si>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</si>
  <si>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</si>
  <si>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</si>
  <si>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</si>
  <si>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</si>
  <si>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</si>
  <si>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</si>
  <si>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</si>
  <si>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</si>
  <si>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 xml:space="preserve">Assets and disposal groups held for sale </t>
  </si>
  <si>
    <t>Liabilities associated with disposal groups held for sale</t>
  </si>
  <si>
    <t>Net interest income - 9 quarter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</si>
</sst>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271">
    <xf numFmtId="0" fontId="0" fillId="0" borderId="0" xfId="0"/>
    <xf numFmtId="0" fontId="15" fillId="0" borderId="0" xfId="0" applyFont="1"/>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Alignment="1">
      <alignment horizontal="left" vertical="center"/>
    </xf>
    <xf numFmtId="0" fontId="17" fillId="0" borderId="0" xfId="0" applyFont="1"/>
    <xf numFmtId="14" fontId="17" fillId="0" borderId="0" xfId="0" applyNumberFormat="1" applyFont="1" applyAlignment="1">
      <alignment horizontal="right"/>
    </xf>
    <xf numFmtId="0" fontId="20" fillId="0" borderId="0" xfId="0" applyFont="1"/>
    <xf numFmtId="3" fontId="20" fillId="0" borderId="0" xfId="0" applyNumberFormat="1" applyFont="1"/>
    <xf numFmtId="166" fontId="20" fillId="0" borderId="0" xfId="1" applyNumberFormat="1" applyFont="1" applyFill="1"/>
    <xf numFmtId="0" fontId="19" fillId="0" borderId="0" xfId="0" applyFont="1"/>
    <xf numFmtId="0" fontId="24" fillId="0" borderId="0" xfId="0" applyFont="1"/>
    <xf numFmtId="0" fontId="25" fillId="0" borderId="0" xfId="0" applyFont="1" applyAlignment="1">
      <alignment horizontal="right" vertical="center"/>
    </xf>
    <xf numFmtId="3" fontId="24" fillId="0" borderId="0" xfId="0" applyNumberFormat="1" applyFont="1"/>
    <xf numFmtId="3" fontId="26" fillId="0" borderId="0" xfId="0" applyNumberFormat="1" applyFont="1" applyAlignment="1">
      <alignment horizontal="right"/>
    </xf>
    <xf numFmtId="0" fontId="26" fillId="0" borderId="0" xfId="0" applyFont="1"/>
    <xf numFmtId="0" fontId="24" fillId="0" borderId="0" xfId="0" applyFont="1" applyAlignment="1">
      <alignment horizontal="right"/>
    </xf>
    <xf numFmtId="0" fontId="26" fillId="0" borderId="0" xfId="0" applyFont="1" applyAlignment="1">
      <alignment horizontal="right"/>
    </xf>
    <xf numFmtId="9" fontId="24" fillId="0" borderId="0" xfId="1" applyFont="1" applyFill="1"/>
    <xf numFmtId="167" fontId="27" fillId="0" borderId="0" xfId="0" applyNumberFormat="1" applyFont="1" applyAlignment="1">
      <alignment horizontal="right"/>
    </xf>
    <xf numFmtId="3" fontId="23" fillId="0" borderId="0" xfId="0" applyNumberFormat="1" applyFont="1" applyAlignment="1">
      <alignment vertical="center"/>
    </xf>
    <xf numFmtId="0" fontId="23" fillId="0" borderId="0" xfId="0" applyFont="1" applyAlignment="1">
      <alignment vertical="center"/>
    </xf>
    <xf numFmtId="166" fontId="24" fillId="0" borderId="0" xfId="1" applyNumberFormat="1" applyFont="1" applyFill="1" applyBorder="1"/>
    <xf numFmtId="166" fontId="24" fillId="0" borderId="0" xfId="0" applyNumberFormat="1" applyFont="1"/>
    <xf numFmtId="190" fontId="24" fillId="0" borderId="0" xfId="0" applyNumberFormat="1" applyFont="1"/>
    <xf numFmtId="190" fontId="15" fillId="0" borderId="0" xfId="0" applyNumberFormat="1" applyFont="1"/>
    <xf numFmtId="190" fontId="15" fillId="0" borderId="0" xfId="0" applyNumberFormat="1" applyFont="1" applyAlignment="1">
      <alignment horizontal="right"/>
    </xf>
    <xf numFmtId="0" fontId="22" fillId="0" borderId="0" xfId="0" applyFont="1"/>
    <xf numFmtId="9" fontId="24" fillId="0" borderId="0" xfId="1" applyFont="1" applyFill="1" applyBorder="1"/>
    <xf numFmtId="9" fontId="26" fillId="0" borderId="0" xfId="0" applyNumberFormat="1" applyFont="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xf numFmtId="10" fontId="20" fillId="0" borderId="0" xfId="1" applyNumberFormat="1" applyFont="1" applyFill="1"/>
    <xf numFmtId="10" fontId="20" fillId="0" borderId="0" xfId="0" applyNumberFormat="1" applyFont="1"/>
    <xf numFmtId="10" fontId="20" fillId="0" borderId="0" xfId="1" applyNumberFormat="1" applyFont="1" applyFill="1" applyAlignment="1">
      <alignment horizontal="right"/>
    </xf>
    <xf numFmtId="14" fontId="20" fillId="0" borderId="0" xfId="0" applyNumberFormat="1" applyFont="1" applyAlignment="1">
      <alignment horizontal="right"/>
    </xf>
    <xf numFmtId="0" fontId="19" fillId="0" borderId="0" xfId="0" applyFont="1" applyAlignment="1">
      <alignment horizontal="right"/>
    </xf>
    <xf numFmtId="166" fontId="20" fillId="0" borderId="0" xfId="0" applyNumberFormat="1" applyFont="1"/>
    <xf numFmtId="0" fontId="19" fillId="2" borderId="0" xfId="0" applyFont="1" applyFill="1"/>
    <xf numFmtId="191" fontId="20" fillId="0" borderId="0" xfId="0" applyNumberFormat="1" applyFont="1"/>
    <xf numFmtId="0" fontId="23" fillId="0" borderId="0" xfId="0" applyFont="1" applyAlignment="1">
      <alignment horizontal="center" vertical="center"/>
    </xf>
    <xf numFmtId="3" fontId="19" fillId="0" borderId="0" xfId="0" applyNumberFormat="1" applyFont="1"/>
    <xf numFmtId="1" fontId="15" fillId="0" borderId="0" xfId="0" applyNumberFormat="1" applyFont="1"/>
    <xf numFmtId="4" fontId="20" fillId="0" borderId="0" xfId="0" applyNumberFormat="1" applyFont="1"/>
    <xf numFmtId="190" fontId="20" fillId="0" borderId="0" xfId="0" applyNumberFormat="1" applyFont="1"/>
    <xf numFmtId="190" fontId="19" fillId="0" borderId="0" xfId="0" applyNumberFormat="1" applyFont="1"/>
    <xf numFmtId="0" fontId="40" fillId="0" borderId="0" xfId="0" applyFont="1"/>
    <xf numFmtId="0" fontId="41" fillId="0" borderId="0" xfId="0" applyFont="1" applyAlignment="1">
      <alignment horizontal="right" vertical="center"/>
    </xf>
    <xf numFmtId="3" fontId="0" fillId="0" borderId="0" xfId="1" applyNumberFormat="1" applyFont="1" applyAlignment="1">
      <alignment horizontal="right"/>
    </xf>
    <xf numFmtId="3" fontId="0" fillId="0" borderId="0" xfId="1" applyNumberFormat="1" applyFont="1" applyBorder="1" applyAlignment="1">
      <alignment horizontal="right"/>
    </xf>
    <xf numFmtId="167" fontId="42" fillId="0" borderId="0" xfId="0" applyNumberFormat="1" applyFont="1" applyAlignment="1">
      <alignment horizontal="right"/>
    </xf>
    <xf numFmtId="167" fontId="41" fillId="0" borderId="0" xfId="0" applyNumberFormat="1" applyFont="1" applyAlignment="1">
      <alignment horizontal="left"/>
    </xf>
    <xf numFmtId="3" fontId="40" fillId="0" borderId="0" xfId="1" applyNumberFormat="1" applyFont="1" applyAlignment="1">
      <alignment horizontal="right"/>
    </xf>
    <xf numFmtId="167" fontId="42" fillId="0" borderId="0" xfId="0" applyNumberFormat="1" applyFont="1" applyAlignment="1">
      <alignment horizontal="left"/>
    </xf>
    <xf numFmtId="9" fontId="0" fillId="0" borderId="0" xfId="1" applyFont="1" applyAlignment="1">
      <alignment horizontal="right"/>
    </xf>
    <xf numFmtId="193" fontId="42" fillId="0" borderId="0" xfId="0" applyNumberFormat="1" applyFont="1" applyAlignment="1">
      <alignment horizontal="right"/>
    </xf>
    <xf numFmtId="0" fontId="21" fillId="4" borderId="0" xfId="0" applyFont="1" applyFill="1" applyAlignment="1">
      <alignment vertical="center"/>
    </xf>
    <xf numFmtId="193" fontId="41" fillId="0" borderId="0" xfId="0" applyNumberFormat="1" applyFont="1" applyAlignment="1">
      <alignment horizontal="right"/>
    </xf>
    <xf numFmtId="3" fontId="0" fillId="0" borderId="0" xfId="0" applyNumberFormat="1"/>
    <xf numFmtId="190" fontId="21" fillId="4" borderId="0" xfId="0" applyNumberFormat="1" applyFont="1" applyFill="1" applyAlignment="1">
      <alignment vertical="center"/>
    </xf>
    <xf numFmtId="9" fontId="20" fillId="0" borderId="0" xfId="1" applyFont="1"/>
    <xf numFmtId="0" fontId="20" fillId="6" borderId="0" xfId="0" applyFont="1" applyFill="1"/>
    <xf numFmtId="166" fontId="20" fillId="6" borderId="0" xfId="1" applyNumberFormat="1" applyFont="1" applyFill="1"/>
    <xf numFmtId="3" fontId="19" fillId="0" borderId="0" xfId="0" applyNumberFormat="1" applyFont="1" applyAlignment="1">
      <alignment horizontal="right"/>
    </xf>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Font="1" applyFill="1"/>
    <xf numFmtId="0" fontId="18" fillId="0" borderId="0" xfId="0" applyFont="1"/>
    <xf numFmtId="14" fontId="17" fillId="0" borderId="0" xfId="0" quotePrefix="1" applyNumberFormat="1" applyFont="1" applyAlignment="1">
      <alignment horizontal="right"/>
    </xf>
    <xf numFmtId="9" fontId="15" fillId="0" borderId="0" xfId="1" applyFont="1" applyAlignment="1">
      <alignment horizontal="right"/>
    </xf>
    <xf numFmtId="0" fontId="17" fillId="0" borderId="9" xfId="0" applyFont="1" applyBorder="1"/>
    <xf numFmtId="190" fontId="17" fillId="0" borderId="9" xfId="0" applyNumberFormat="1" applyFont="1" applyBorder="1" applyAlignment="1">
      <alignment horizontal="right"/>
    </xf>
    <xf numFmtId="9" fontId="17" fillId="0" borderId="9" xfId="1" applyFont="1" applyFill="1" applyBorder="1" applyAlignment="1">
      <alignment horizontal="right"/>
    </xf>
    <xf numFmtId="0" fontId="17" fillId="3" borderId="9" xfId="0" applyFont="1" applyFill="1" applyBorder="1"/>
    <xf numFmtId="190" fontId="17" fillId="0" borderId="0" xfId="0" applyNumberFormat="1" applyFont="1" applyAlignment="1">
      <alignment horizontal="right"/>
    </xf>
    <xf numFmtId="9" fontId="17" fillId="0" borderId="0" xfId="1" applyFont="1" applyFill="1" applyBorder="1" applyAlignment="1">
      <alignment horizontal="right"/>
    </xf>
    <xf numFmtId="2" fontId="20" fillId="0" borderId="0" xfId="0" applyNumberFormat="1" applyFont="1"/>
    <xf numFmtId="14" fontId="19" fillId="0" borderId="0" xfId="0" applyNumberFormat="1" applyFont="1" applyAlignment="1">
      <alignment horizontal="right"/>
    </xf>
    <xf numFmtId="14" fontId="19" fillId="0" borderId="0" xfId="0" applyNumberFormat="1" applyFont="1"/>
    <xf numFmtId="9" fontId="20" fillId="0" borderId="0" xfId="1" applyFont="1" applyFill="1" applyAlignment="1">
      <alignment horizontal="right"/>
    </xf>
    <xf numFmtId="166" fontId="20" fillId="0" borderId="0" xfId="1" applyNumberFormat="1" applyFont="1" applyFill="1" applyAlignment="1">
      <alignment horizontal="right"/>
    </xf>
    <xf numFmtId="3" fontId="20" fillId="0" borderId="0" xfId="0" applyNumberFormat="1" applyFont="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Alignment="1">
      <alignment horizontal="right"/>
    </xf>
    <xf numFmtId="1" fontId="20" fillId="0" borderId="0" xfId="0" applyNumberFormat="1" applyFont="1" applyAlignment="1">
      <alignment horizontal="right"/>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24" xfId="0" applyFont="1" applyBorder="1" applyAlignment="1">
      <alignment horizontal="right"/>
    </xf>
    <xf numFmtId="9" fontId="40" fillId="0" borderId="0" xfId="1" applyFont="1" applyAlignment="1">
      <alignment horizontal="right"/>
    </xf>
    <xf numFmtId="0" fontId="28" fillId="0" borderId="0" xfId="0" applyFont="1" applyAlignment="1">
      <alignment vertical="center"/>
    </xf>
    <xf numFmtId="3" fontId="19" fillId="0" borderId="29" xfId="0" applyNumberFormat="1" applyFont="1" applyBorder="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Alignment="1">
      <alignment horizontal="right"/>
    </xf>
    <xf numFmtId="0" fontId="16" fillId="32" borderId="0" xfId="0" applyFont="1" applyFill="1" applyAlignment="1">
      <alignment horizontal="left" vertical="center"/>
    </xf>
    <xf numFmtId="190" fontId="16" fillId="32" borderId="0" xfId="0" applyNumberFormat="1" applyFont="1" applyFill="1" applyAlignment="1">
      <alignment horizontal="right" vertical="center"/>
    </xf>
    <xf numFmtId="3" fontId="26" fillId="0" borderId="0" xfId="0" applyNumberFormat="1" applyFont="1"/>
    <xf numFmtId="191" fontId="24" fillId="0" borderId="0" xfId="0" applyNumberFormat="1" applyFont="1"/>
    <xf numFmtId="192" fontId="26" fillId="0" borderId="0" xfId="0" applyNumberFormat="1" applyFont="1"/>
    <xf numFmtId="0" fontId="15" fillId="0" borderId="0" xfId="0" applyFont="1" applyAlignment="1">
      <alignment horizontal="center"/>
    </xf>
    <xf numFmtId="191" fontId="19" fillId="0" borderId="0" xfId="0" applyNumberFormat="1" applyFont="1"/>
    <xf numFmtId="10" fontId="24" fillId="0" borderId="0" xfId="1" applyNumberFormat="1" applyFont="1" applyFill="1" applyBorder="1"/>
    <xf numFmtId="192" fontId="24" fillId="0" borderId="0" xfId="0" applyNumberFormat="1" applyFont="1"/>
    <xf numFmtId="14" fontId="28" fillId="0" borderId="0" xfId="0" quotePrefix="1" applyNumberFormat="1" applyFont="1" applyAlignment="1">
      <alignment horizontal="right"/>
    </xf>
    <xf numFmtId="3" fontId="27" fillId="0" borderId="0" xfId="0" applyNumberFormat="1" applyFont="1" applyAlignment="1">
      <alignment vertical="center"/>
    </xf>
    <xf numFmtId="3" fontId="25" fillId="0" borderId="0" xfId="0" applyNumberFormat="1" applyFont="1"/>
    <xf numFmtId="191" fontId="26" fillId="0" borderId="0" xfId="0" applyNumberFormat="1" applyFont="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Alignment="1">
      <alignment horizontal="right"/>
    </xf>
    <xf numFmtId="193" fontId="1" fillId="0" borderId="0" xfId="1" applyNumberFormat="1" applyFont="1" applyAlignment="1">
      <alignment horizontal="right"/>
    </xf>
    <xf numFmtId="9" fontId="19" fillId="0" borderId="0" xfId="0" applyNumberFormat="1" applyFont="1"/>
    <xf numFmtId="14" fontId="19" fillId="0" borderId="0" xfId="0" quotePrefix="1" applyNumberFormat="1" applyFont="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Font="1" applyFill="1"/>
    <xf numFmtId="0" fontId="34" fillId="0" borderId="0" xfId="0" applyFont="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Alignment="1">
      <alignment horizontal="right" vertical="center"/>
    </xf>
    <xf numFmtId="9" fontId="16" fillId="33" borderId="0" xfId="1" applyFont="1" applyFill="1" applyBorder="1" applyAlignment="1">
      <alignment horizontal="right" vertical="center"/>
    </xf>
    <xf numFmtId="0" fontId="20" fillId="34" borderId="0" xfId="0" applyFont="1" applyFill="1"/>
    <xf numFmtId="9" fontId="20" fillId="3" borderId="0" xfId="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xf numFmtId="0" fontId="16" fillId="3" borderId="0" xfId="12443" applyFont="1" applyFill="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xf numFmtId="0" fontId="16" fillId="60" borderId="0" xfId="12443" applyFont="1" applyFill="1"/>
    <xf numFmtId="0" fontId="16" fillId="60" borderId="0" xfId="12443" applyFont="1" applyFill="1" applyAlignment="1">
      <alignment horizontal="right"/>
    </xf>
    <xf numFmtId="0" fontId="72" fillId="60" borderId="0" xfId="12443" applyFont="1" applyFill="1"/>
    <xf numFmtId="0" fontId="73" fillId="60" borderId="0" xfId="12443" applyFont="1" applyFill="1"/>
    <xf numFmtId="0" fontId="74" fillId="60" borderId="0" xfId="12443" applyFont="1" applyFill="1"/>
    <xf numFmtId="0" fontId="74" fillId="60" borderId="0" xfId="12443" applyFont="1" applyFill="1" applyAlignment="1">
      <alignment horizontal="right"/>
    </xf>
    <xf numFmtId="0" fontId="74" fillId="3" borderId="0" xfId="12443" applyFont="1" applyFill="1"/>
    <xf numFmtId="0" fontId="74" fillId="3" borderId="0" xfId="12443" applyFont="1" applyFill="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xf numFmtId="166" fontId="29" fillId="3" borderId="0" xfId="30277" applyNumberFormat="1" applyFont="1" applyFill="1">
      <alignment horizontal="right"/>
    </xf>
    <xf numFmtId="3" fontId="24" fillId="3" borderId="0" xfId="0" applyNumberFormat="1" applyFont="1" applyFill="1"/>
    <xf numFmtId="0" fontId="70" fillId="3" borderId="0" xfId="0" applyFont="1" applyFill="1"/>
    <xf numFmtId="166" fontId="70" fillId="3" borderId="0" xfId="0" applyNumberFormat="1" applyFont="1" applyFill="1"/>
    <xf numFmtId="0" fontId="77" fillId="3" borderId="0" xfId="0" applyFont="1" applyFill="1"/>
    <xf numFmtId="190" fontId="29" fillId="3" borderId="2" xfId="30277" applyFont="1" applyFill="1" applyBorder="1">
      <alignment horizontal="right"/>
    </xf>
    <xf numFmtId="190" fontId="70" fillId="3" borderId="0" xfId="0" applyNumberFormat="1" applyFont="1" applyFill="1"/>
    <xf numFmtId="190" fontId="79" fillId="3" borderId="0" xfId="0" applyNumberFormat="1" applyFont="1" applyFill="1"/>
    <xf numFmtId="0" fontId="79" fillId="3" borderId="0" xfId="0" applyFont="1" applyFill="1"/>
    <xf numFmtId="190" fontId="29" fillId="3" borderId="1" xfId="30277" applyFont="1" applyFill="1" applyBorder="1">
      <alignment horizontal="right"/>
    </xf>
    <xf numFmtId="0" fontId="80" fillId="3" borderId="0" xfId="0" applyFont="1" applyFill="1"/>
    <xf numFmtId="3" fontId="26" fillId="3" borderId="0" xfId="0" applyNumberFormat="1" applyFont="1" applyFill="1"/>
    <xf numFmtId="209" fontId="29" fillId="3" borderId="0" xfId="30277" applyNumberFormat="1" applyFont="1" applyFill="1">
      <alignment horizontal="right"/>
    </xf>
    <xf numFmtId="0" fontId="73" fillId="33" borderId="0" xfId="12443" applyFont="1" applyFill="1"/>
    <xf numFmtId="0" fontId="26" fillId="3" borderId="0" xfId="0" applyFont="1" applyFill="1"/>
    <xf numFmtId="210" fontId="29" fillId="3" borderId="0" xfId="30277" applyNumberFormat="1" applyFont="1" applyFill="1">
      <alignment horizontal="right"/>
    </xf>
    <xf numFmtId="4" fontId="70" fillId="3" borderId="0" xfId="0" applyNumberFormat="1" applyFont="1" applyFill="1"/>
    <xf numFmtId="0" fontId="82" fillId="60" borderId="0" xfId="12443" applyFont="1" applyFill="1"/>
    <xf numFmtId="166" fontId="27" fillId="3" borderId="0" xfId="30277" applyNumberFormat="1" applyFont="1" applyFill="1">
      <alignment horizontal="right"/>
    </xf>
    <xf numFmtId="4" fontId="27" fillId="3" borderId="0" xfId="30277" applyNumberFormat="1" applyFont="1" applyFill="1">
      <alignment horizontal="right"/>
    </xf>
    <xf numFmtId="190" fontId="27" fillId="3" borderId="0" xfId="30277" applyFont="1" applyFill="1">
      <alignment horizontal="right"/>
    </xf>
    <xf numFmtId="3" fontId="27" fillId="3" borderId="0" xfId="30277" applyNumberFormat="1" applyFont="1" applyFill="1">
      <alignment horizontal="right"/>
    </xf>
    <xf numFmtId="166" fontId="24" fillId="3" borderId="0" xfId="0" applyNumberFormat="1" applyFont="1" applyFill="1"/>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lignment horizontal="right"/>
    </xf>
    <xf numFmtId="10" fontId="27" fillId="3" borderId="0" xfId="30277" applyNumberFormat="1" applyFont="1" applyFill="1">
      <alignment horizontal="right"/>
    </xf>
    <xf numFmtId="190" fontId="27" fillId="3" borderId="8" xfId="30277" applyFont="1" applyFill="1" applyBorder="1">
      <alignment horizontal="right"/>
    </xf>
    <xf numFmtId="190" fontId="27" fillId="3" borderId="9" xfId="30277"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190" fontId="25" fillId="3" borderId="2"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66" fontId="25" fillId="3" borderId="0" xfId="30277" applyNumberFormat="1" applyFont="1" applyFill="1">
      <alignment horizontal="right"/>
    </xf>
    <xf numFmtId="190" fontId="26" fillId="3" borderId="0" xfId="0" applyNumberFormat="1" applyFont="1" applyFill="1"/>
    <xf numFmtId="0" fontId="24" fillId="3" borderId="1" xfId="0" applyFont="1" applyFill="1" applyBorder="1"/>
    <xf numFmtId="0" fontId="72" fillId="60" borderId="0" xfId="12443" applyFont="1" applyFill="1" applyAlignment="1">
      <alignment horizontal="left"/>
    </xf>
    <xf numFmtId="0" fontId="77" fillId="3" borderId="0" xfId="0" applyFont="1" applyFill="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Alignment="1">
      <alignment horizontal="center"/>
    </xf>
    <xf numFmtId="0" fontId="15" fillId="0" borderId="0" xfId="0" applyFont="1" applyAlignment="1">
      <alignment horizontal="center"/>
    </xf>
    <xf numFmtId="14" fontId="16" fillId="33" borderId="0" xfId="0" applyNumberFormat="1" applyFont="1" applyFill="1" applyAlignment="1">
      <alignment horizontal="center" vertical="center"/>
    </xf>
    <xf numFmtId="0" fontId="16" fillId="33" borderId="0" xfId="0" applyFont="1" applyFill="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A550000}"/>
    <cellStyle name="Note 10 10" xfId="21672" xr:uid="{00000000-0005-0000-0000-0000CB550000}"/>
    <cellStyle name="Note 10 11" xfId="21673" xr:uid="{00000000-0005-0000-0000-0000CC550000}"/>
    <cellStyle name="Note 10 12" xfId="21674" xr:uid="{00000000-0005-0000-0000-0000CD550000}"/>
    <cellStyle name="Note 10 13" xfId="21675" xr:uid="{00000000-0005-0000-0000-0000CE550000}"/>
    <cellStyle name="Note 10 14" xfId="21676" xr:uid="{00000000-0005-0000-0000-0000CF550000}"/>
    <cellStyle name="Note 10 15" xfId="21677" xr:uid="{00000000-0005-0000-0000-0000D0550000}"/>
    <cellStyle name="Note 10 16" xfId="21678" xr:uid="{00000000-0005-0000-0000-0000D1550000}"/>
    <cellStyle name="Note 10 17" xfId="21679" xr:uid="{00000000-0005-0000-0000-0000D2550000}"/>
    <cellStyle name="Note 10 18" xfId="21680" xr:uid="{00000000-0005-0000-0000-0000D3550000}"/>
    <cellStyle name="Note 10 19" xfId="21681" xr:uid="{00000000-0005-0000-0000-0000D4550000}"/>
    <cellStyle name="Note 10 2" xfId="21682" xr:uid="{00000000-0005-0000-0000-0000D5550000}"/>
    <cellStyle name="Note 10 2 2" xfId="21683" xr:uid="{00000000-0005-0000-0000-0000D6550000}"/>
    <cellStyle name="Note 10 20" xfId="21684" xr:uid="{00000000-0005-0000-0000-0000D7550000}"/>
    <cellStyle name="Note 10 21" xfId="21685" xr:uid="{00000000-0005-0000-0000-0000D8550000}"/>
    <cellStyle name="Note 10 22" xfId="21686" xr:uid="{00000000-0005-0000-0000-0000D9550000}"/>
    <cellStyle name="Note 10 23" xfId="21687" xr:uid="{00000000-0005-0000-0000-0000DA550000}"/>
    <cellStyle name="Note 10 24" xfId="21688" xr:uid="{00000000-0005-0000-0000-0000DB550000}"/>
    <cellStyle name="Note 10 25" xfId="21689" xr:uid="{00000000-0005-0000-0000-0000DC550000}"/>
    <cellStyle name="Note 10 26" xfId="21690" xr:uid="{00000000-0005-0000-0000-0000DD550000}"/>
    <cellStyle name="Note 10 27" xfId="21691" xr:uid="{00000000-0005-0000-0000-0000DE550000}"/>
    <cellStyle name="Note 10 28" xfId="21692" xr:uid="{00000000-0005-0000-0000-0000DF550000}"/>
    <cellStyle name="Note 10 29" xfId="21693" xr:uid="{00000000-0005-0000-0000-0000E0550000}"/>
    <cellStyle name="Note 10 3" xfId="21694" xr:uid="{00000000-0005-0000-0000-0000E1550000}"/>
    <cellStyle name="Note 10 3 2" xfId="21695" xr:uid="{00000000-0005-0000-0000-0000E2550000}"/>
    <cellStyle name="Note 10 30" xfId="21696" xr:uid="{00000000-0005-0000-0000-0000E3550000}"/>
    <cellStyle name="Note 10 31" xfId="21697" xr:uid="{00000000-0005-0000-0000-0000E4550000}"/>
    <cellStyle name="Note 10 32" xfId="21698" xr:uid="{00000000-0005-0000-0000-0000E5550000}"/>
    <cellStyle name="Note 10 33" xfId="21699" xr:uid="{00000000-0005-0000-0000-0000E6550000}"/>
    <cellStyle name="Note 10 34" xfId="21700" xr:uid="{00000000-0005-0000-0000-0000E7550000}"/>
    <cellStyle name="Note 10 35" xfId="21701" xr:uid="{00000000-0005-0000-0000-0000E8550000}"/>
    <cellStyle name="Note 10 36" xfId="21702" xr:uid="{00000000-0005-0000-0000-0000E9550000}"/>
    <cellStyle name="Note 10 37" xfId="21703" xr:uid="{00000000-0005-0000-0000-0000EA550000}"/>
    <cellStyle name="Note 10 38" xfId="21704" xr:uid="{00000000-0005-0000-0000-0000EB550000}"/>
    <cellStyle name="Note 10 39" xfId="21705" xr:uid="{00000000-0005-0000-0000-0000EC550000}"/>
    <cellStyle name="Note 10 4" xfId="21706" xr:uid="{00000000-0005-0000-0000-0000ED550000}"/>
    <cellStyle name="Note 10 4 2" xfId="21707" xr:uid="{00000000-0005-0000-0000-0000EE550000}"/>
    <cellStyle name="Note 10 40" xfId="21708" xr:uid="{00000000-0005-0000-0000-0000EF550000}"/>
    <cellStyle name="Note 10 41" xfId="21709" xr:uid="{00000000-0005-0000-0000-0000F0550000}"/>
    <cellStyle name="Note 10 42" xfId="21710" xr:uid="{00000000-0005-0000-0000-0000F1550000}"/>
    <cellStyle name="Note 10 43" xfId="21711" xr:uid="{00000000-0005-0000-0000-0000F2550000}"/>
    <cellStyle name="Note 10 44" xfId="21712" xr:uid="{00000000-0005-0000-0000-0000F3550000}"/>
    <cellStyle name="Note 10 45" xfId="21713" xr:uid="{00000000-0005-0000-0000-0000F4550000}"/>
    <cellStyle name="Note 10 46" xfId="21714" xr:uid="{00000000-0005-0000-0000-0000F5550000}"/>
    <cellStyle name="Note 10 47" xfId="21715" xr:uid="{00000000-0005-0000-0000-0000F6550000}"/>
    <cellStyle name="Note 10 48" xfId="21716" xr:uid="{00000000-0005-0000-0000-0000F7550000}"/>
    <cellStyle name="Note 10 5" xfId="21717" xr:uid="{00000000-0005-0000-0000-0000F8550000}"/>
    <cellStyle name="Note 10 5 2" xfId="21718" xr:uid="{00000000-0005-0000-0000-0000F9550000}"/>
    <cellStyle name="Note 10 6" xfId="21719" xr:uid="{00000000-0005-0000-0000-0000FA550000}"/>
    <cellStyle name="Note 10 6 2" xfId="21720" xr:uid="{00000000-0005-0000-0000-0000FB550000}"/>
    <cellStyle name="Note 10 7" xfId="21721" xr:uid="{00000000-0005-0000-0000-0000FC550000}"/>
    <cellStyle name="Note 10 7 2" xfId="21722" xr:uid="{00000000-0005-0000-0000-0000FD550000}"/>
    <cellStyle name="Note 10 8" xfId="21723" xr:uid="{00000000-0005-0000-0000-0000FE550000}"/>
    <cellStyle name="Note 10 8 2" xfId="21724" xr:uid="{00000000-0005-0000-0000-0000FF550000}"/>
    <cellStyle name="Note 10 9" xfId="21725" xr:uid="{00000000-0005-0000-0000-000000560000}"/>
    <cellStyle name="Note 10 9 2" xfId="21726" xr:uid="{00000000-0005-0000-0000-000001560000}"/>
    <cellStyle name="Note 11" xfId="21727" xr:uid="{00000000-0005-0000-0000-000002560000}"/>
    <cellStyle name="Note 11 10" xfId="21728" xr:uid="{00000000-0005-0000-0000-000003560000}"/>
    <cellStyle name="Note 11 11" xfId="21729" xr:uid="{00000000-0005-0000-0000-000004560000}"/>
    <cellStyle name="Note 11 12" xfId="21730" xr:uid="{00000000-0005-0000-0000-000005560000}"/>
    <cellStyle name="Note 11 13" xfId="21731" xr:uid="{00000000-0005-0000-0000-000006560000}"/>
    <cellStyle name="Note 11 14" xfId="21732" xr:uid="{00000000-0005-0000-0000-000007560000}"/>
    <cellStyle name="Note 11 15" xfId="21733" xr:uid="{00000000-0005-0000-0000-000008560000}"/>
    <cellStyle name="Note 11 16" xfId="21734" xr:uid="{00000000-0005-0000-0000-000009560000}"/>
    <cellStyle name="Note 11 17" xfId="21735" xr:uid="{00000000-0005-0000-0000-00000A560000}"/>
    <cellStyle name="Note 11 18" xfId="21736" xr:uid="{00000000-0005-0000-0000-00000B560000}"/>
    <cellStyle name="Note 11 19" xfId="21737" xr:uid="{00000000-0005-0000-0000-00000C560000}"/>
    <cellStyle name="Note 11 2" xfId="21738" xr:uid="{00000000-0005-0000-0000-00000D560000}"/>
    <cellStyle name="Note 11 2 2" xfId="21739" xr:uid="{00000000-0005-0000-0000-00000E560000}"/>
    <cellStyle name="Note 11 20" xfId="21740" xr:uid="{00000000-0005-0000-0000-00000F560000}"/>
    <cellStyle name="Note 11 21" xfId="21741" xr:uid="{00000000-0005-0000-0000-000010560000}"/>
    <cellStyle name="Note 11 22" xfId="21742" xr:uid="{00000000-0005-0000-0000-000011560000}"/>
    <cellStyle name="Note 11 23" xfId="21743" xr:uid="{00000000-0005-0000-0000-000012560000}"/>
    <cellStyle name="Note 11 24" xfId="21744" xr:uid="{00000000-0005-0000-0000-000013560000}"/>
    <cellStyle name="Note 11 25" xfId="21745" xr:uid="{00000000-0005-0000-0000-000014560000}"/>
    <cellStyle name="Note 11 26" xfId="21746" xr:uid="{00000000-0005-0000-0000-000015560000}"/>
    <cellStyle name="Note 11 27" xfId="21747" xr:uid="{00000000-0005-0000-0000-000016560000}"/>
    <cellStyle name="Note 11 28" xfId="21748" xr:uid="{00000000-0005-0000-0000-000017560000}"/>
    <cellStyle name="Note 11 29" xfId="21749" xr:uid="{00000000-0005-0000-0000-000018560000}"/>
    <cellStyle name="Note 11 3" xfId="21750" xr:uid="{00000000-0005-0000-0000-000019560000}"/>
    <cellStyle name="Note 11 3 2" xfId="21751" xr:uid="{00000000-0005-0000-0000-00001A560000}"/>
    <cellStyle name="Note 11 30" xfId="21752" xr:uid="{00000000-0005-0000-0000-00001B560000}"/>
    <cellStyle name="Note 11 31" xfId="21753" xr:uid="{00000000-0005-0000-0000-00001C560000}"/>
    <cellStyle name="Note 11 32" xfId="21754" xr:uid="{00000000-0005-0000-0000-00001D560000}"/>
    <cellStyle name="Note 11 33" xfId="21755" xr:uid="{00000000-0005-0000-0000-00001E560000}"/>
    <cellStyle name="Note 11 34" xfId="21756" xr:uid="{00000000-0005-0000-0000-00001F560000}"/>
    <cellStyle name="Note 11 35" xfId="21757" xr:uid="{00000000-0005-0000-0000-000020560000}"/>
    <cellStyle name="Note 11 36" xfId="21758" xr:uid="{00000000-0005-0000-0000-000021560000}"/>
    <cellStyle name="Note 11 37" xfId="21759" xr:uid="{00000000-0005-0000-0000-000022560000}"/>
    <cellStyle name="Note 11 38" xfId="21760" xr:uid="{00000000-0005-0000-0000-000023560000}"/>
    <cellStyle name="Note 11 39" xfId="21761" xr:uid="{00000000-0005-0000-0000-000024560000}"/>
    <cellStyle name="Note 11 4" xfId="21762" xr:uid="{00000000-0005-0000-0000-000025560000}"/>
    <cellStyle name="Note 11 4 2" xfId="21763" xr:uid="{00000000-0005-0000-0000-000026560000}"/>
    <cellStyle name="Note 11 40" xfId="21764" xr:uid="{00000000-0005-0000-0000-000027560000}"/>
    <cellStyle name="Note 11 41" xfId="21765" xr:uid="{00000000-0005-0000-0000-000028560000}"/>
    <cellStyle name="Note 11 42" xfId="21766" xr:uid="{00000000-0005-0000-0000-000029560000}"/>
    <cellStyle name="Note 11 43" xfId="21767" xr:uid="{00000000-0005-0000-0000-00002A560000}"/>
    <cellStyle name="Note 11 44" xfId="21768" xr:uid="{00000000-0005-0000-0000-00002B560000}"/>
    <cellStyle name="Note 11 45" xfId="21769" xr:uid="{00000000-0005-0000-0000-00002C560000}"/>
    <cellStyle name="Note 11 46" xfId="21770" xr:uid="{00000000-0005-0000-0000-00002D560000}"/>
    <cellStyle name="Note 11 47" xfId="21771" xr:uid="{00000000-0005-0000-0000-00002E560000}"/>
    <cellStyle name="Note 11 48" xfId="21772" xr:uid="{00000000-0005-0000-0000-00002F560000}"/>
    <cellStyle name="Note 11 5" xfId="21773" xr:uid="{00000000-0005-0000-0000-000030560000}"/>
    <cellStyle name="Note 11 5 2" xfId="21774" xr:uid="{00000000-0005-0000-0000-000031560000}"/>
    <cellStyle name="Note 11 6" xfId="21775" xr:uid="{00000000-0005-0000-0000-000032560000}"/>
    <cellStyle name="Note 11 6 2" xfId="21776" xr:uid="{00000000-0005-0000-0000-000033560000}"/>
    <cellStyle name="Note 11 7" xfId="21777" xr:uid="{00000000-0005-0000-0000-000034560000}"/>
    <cellStyle name="Note 11 7 2" xfId="21778" xr:uid="{00000000-0005-0000-0000-000035560000}"/>
    <cellStyle name="Note 11 8" xfId="21779" xr:uid="{00000000-0005-0000-0000-000036560000}"/>
    <cellStyle name="Note 11 8 2" xfId="21780" xr:uid="{00000000-0005-0000-0000-000037560000}"/>
    <cellStyle name="Note 11 9" xfId="21781" xr:uid="{00000000-0005-0000-0000-000038560000}"/>
    <cellStyle name="Note 11 9 2" xfId="21782" xr:uid="{00000000-0005-0000-0000-000039560000}"/>
    <cellStyle name="Note 12" xfId="21783" xr:uid="{00000000-0005-0000-0000-00003A560000}"/>
    <cellStyle name="Note 12 10" xfId="21784" xr:uid="{00000000-0005-0000-0000-00003B560000}"/>
    <cellStyle name="Note 12 11" xfId="21785" xr:uid="{00000000-0005-0000-0000-00003C560000}"/>
    <cellStyle name="Note 12 12" xfId="21786" xr:uid="{00000000-0005-0000-0000-00003D560000}"/>
    <cellStyle name="Note 12 13" xfId="21787" xr:uid="{00000000-0005-0000-0000-00003E560000}"/>
    <cellStyle name="Note 12 14" xfId="21788" xr:uid="{00000000-0005-0000-0000-00003F560000}"/>
    <cellStyle name="Note 12 15" xfId="21789" xr:uid="{00000000-0005-0000-0000-000040560000}"/>
    <cellStyle name="Note 12 16" xfId="21790" xr:uid="{00000000-0005-0000-0000-000041560000}"/>
    <cellStyle name="Note 12 17" xfId="21791" xr:uid="{00000000-0005-0000-0000-000042560000}"/>
    <cellStyle name="Note 12 18" xfId="21792" xr:uid="{00000000-0005-0000-0000-000043560000}"/>
    <cellStyle name="Note 12 19" xfId="21793" xr:uid="{00000000-0005-0000-0000-000044560000}"/>
    <cellStyle name="Note 12 2" xfId="21794" xr:uid="{00000000-0005-0000-0000-000045560000}"/>
    <cellStyle name="Note 12 2 2" xfId="21795" xr:uid="{00000000-0005-0000-0000-000046560000}"/>
    <cellStyle name="Note 12 20" xfId="21796" xr:uid="{00000000-0005-0000-0000-000047560000}"/>
    <cellStyle name="Note 12 21" xfId="21797" xr:uid="{00000000-0005-0000-0000-000048560000}"/>
    <cellStyle name="Note 12 22" xfId="21798" xr:uid="{00000000-0005-0000-0000-000049560000}"/>
    <cellStyle name="Note 12 23" xfId="21799" xr:uid="{00000000-0005-0000-0000-00004A560000}"/>
    <cellStyle name="Note 12 24" xfId="21800" xr:uid="{00000000-0005-0000-0000-00004B560000}"/>
    <cellStyle name="Note 12 25" xfId="21801" xr:uid="{00000000-0005-0000-0000-00004C560000}"/>
    <cellStyle name="Note 12 26" xfId="21802" xr:uid="{00000000-0005-0000-0000-00004D560000}"/>
    <cellStyle name="Note 12 27" xfId="21803" xr:uid="{00000000-0005-0000-0000-00004E560000}"/>
    <cellStyle name="Note 12 28" xfId="21804" xr:uid="{00000000-0005-0000-0000-00004F560000}"/>
    <cellStyle name="Note 12 29" xfId="21805" xr:uid="{00000000-0005-0000-0000-000050560000}"/>
    <cellStyle name="Note 12 3" xfId="21806" xr:uid="{00000000-0005-0000-0000-000051560000}"/>
    <cellStyle name="Note 12 3 2" xfId="21807" xr:uid="{00000000-0005-0000-0000-000052560000}"/>
    <cellStyle name="Note 12 30" xfId="21808" xr:uid="{00000000-0005-0000-0000-000053560000}"/>
    <cellStyle name="Note 12 31" xfId="21809" xr:uid="{00000000-0005-0000-0000-000054560000}"/>
    <cellStyle name="Note 12 32" xfId="21810" xr:uid="{00000000-0005-0000-0000-000055560000}"/>
    <cellStyle name="Note 12 33" xfId="21811" xr:uid="{00000000-0005-0000-0000-000056560000}"/>
    <cellStyle name="Note 12 34" xfId="21812" xr:uid="{00000000-0005-0000-0000-000057560000}"/>
    <cellStyle name="Note 12 35" xfId="21813" xr:uid="{00000000-0005-0000-0000-000058560000}"/>
    <cellStyle name="Note 12 36" xfId="21814" xr:uid="{00000000-0005-0000-0000-000059560000}"/>
    <cellStyle name="Note 12 37" xfId="21815" xr:uid="{00000000-0005-0000-0000-00005A560000}"/>
    <cellStyle name="Note 12 38" xfId="21816" xr:uid="{00000000-0005-0000-0000-00005B560000}"/>
    <cellStyle name="Note 12 39" xfId="21817" xr:uid="{00000000-0005-0000-0000-00005C560000}"/>
    <cellStyle name="Note 12 4" xfId="21818" xr:uid="{00000000-0005-0000-0000-00005D560000}"/>
    <cellStyle name="Note 12 4 2" xfId="21819" xr:uid="{00000000-0005-0000-0000-00005E560000}"/>
    <cellStyle name="Note 12 40" xfId="21820" xr:uid="{00000000-0005-0000-0000-00005F560000}"/>
    <cellStyle name="Note 12 41" xfId="21821" xr:uid="{00000000-0005-0000-0000-000060560000}"/>
    <cellStyle name="Note 12 42" xfId="21822" xr:uid="{00000000-0005-0000-0000-000061560000}"/>
    <cellStyle name="Note 12 43" xfId="21823" xr:uid="{00000000-0005-0000-0000-000062560000}"/>
    <cellStyle name="Note 12 44" xfId="21824" xr:uid="{00000000-0005-0000-0000-000063560000}"/>
    <cellStyle name="Note 12 45" xfId="21825" xr:uid="{00000000-0005-0000-0000-000064560000}"/>
    <cellStyle name="Note 12 46" xfId="21826" xr:uid="{00000000-0005-0000-0000-000065560000}"/>
    <cellStyle name="Note 12 47" xfId="21827" xr:uid="{00000000-0005-0000-0000-000066560000}"/>
    <cellStyle name="Note 12 48" xfId="21828" xr:uid="{00000000-0005-0000-0000-000067560000}"/>
    <cellStyle name="Note 12 5" xfId="21829" xr:uid="{00000000-0005-0000-0000-000068560000}"/>
    <cellStyle name="Note 12 5 2" xfId="21830" xr:uid="{00000000-0005-0000-0000-000069560000}"/>
    <cellStyle name="Note 12 6" xfId="21831" xr:uid="{00000000-0005-0000-0000-00006A560000}"/>
    <cellStyle name="Note 12 6 2" xfId="21832" xr:uid="{00000000-0005-0000-0000-00006B560000}"/>
    <cellStyle name="Note 12 7" xfId="21833" xr:uid="{00000000-0005-0000-0000-00006C560000}"/>
    <cellStyle name="Note 12 7 2" xfId="21834" xr:uid="{00000000-0005-0000-0000-00006D560000}"/>
    <cellStyle name="Note 12 8" xfId="21835" xr:uid="{00000000-0005-0000-0000-00006E560000}"/>
    <cellStyle name="Note 12 8 2" xfId="21836" xr:uid="{00000000-0005-0000-0000-00006F560000}"/>
    <cellStyle name="Note 12 9" xfId="21837" xr:uid="{00000000-0005-0000-0000-000070560000}"/>
    <cellStyle name="Note 12 9 2" xfId="21838" xr:uid="{00000000-0005-0000-0000-000071560000}"/>
    <cellStyle name="Note 13" xfId="21839" xr:uid="{00000000-0005-0000-0000-000072560000}"/>
    <cellStyle name="Note 13 10" xfId="21840" xr:uid="{00000000-0005-0000-0000-000073560000}"/>
    <cellStyle name="Note 13 11" xfId="21841" xr:uid="{00000000-0005-0000-0000-000074560000}"/>
    <cellStyle name="Note 13 12" xfId="21842" xr:uid="{00000000-0005-0000-0000-000075560000}"/>
    <cellStyle name="Note 13 13" xfId="21843" xr:uid="{00000000-0005-0000-0000-000076560000}"/>
    <cellStyle name="Note 13 14" xfId="21844" xr:uid="{00000000-0005-0000-0000-000077560000}"/>
    <cellStyle name="Note 13 15" xfId="21845" xr:uid="{00000000-0005-0000-0000-000078560000}"/>
    <cellStyle name="Note 13 16" xfId="21846" xr:uid="{00000000-0005-0000-0000-000079560000}"/>
    <cellStyle name="Note 13 17" xfId="21847" xr:uid="{00000000-0005-0000-0000-00007A560000}"/>
    <cellStyle name="Note 13 18" xfId="21848" xr:uid="{00000000-0005-0000-0000-00007B560000}"/>
    <cellStyle name="Note 13 19" xfId="21849" xr:uid="{00000000-0005-0000-0000-00007C560000}"/>
    <cellStyle name="Note 13 2" xfId="21850" xr:uid="{00000000-0005-0000-0000-00007D560000}"/>
    <cellStyle name="Note 13 2 2" xfId="21851" xr:uid="{00000000-0005-0000-0000-00007E560000}"/>
    <cellStyle name="Note 13 20" xfId="21852" xr:uid="{00000000-0005-0000-0000-00007F560000}"/>
    <cellStyle name="Note 13 21" xfId="21853" xr:uid="{00000000-0005-0000-0000-000080560000}"/>
    <cellStyle name="Note 13 22" xfId="21854" xr:uid="{00000000-0005-0000-0000-000081560000}"/>
    <cellStyle name="Note 13 23" xfId="21855" xr:uid="{00000000-0005-0000-0000-000082560000}"/>
    <cellStyle name="Note 13 24" xfId="21856" xr:uid="{00000000-0005-0000-0000-000083560000}"/>
    <cellStyle name="Note 13 25" xfId="21857" xr:uid="{00000000-0005-0000-0000-000084560000}"/>
    <cellStyle name="Note 13 26" xfId="21858" xr:uid="{00000000-0005-0000-0000-000085560000}"/>
    <cellStyle name="Note 13 27" xfId="21859" xr:uid="{00000000-0005-0000-0000-000086560000}"/>
    <cellStyle name="Note 13 28" xfId="21860" xr:uid="{00000000-0005-0000-0000-000087560000}"/>
    <cellStyle name="Note 13 29" xfId="21861" xr:uid="{00000000-0005-0000-0000-000088560000}"/>
    <cellStyle name="Note 13 3" xfId="21862" xr:uid="{00000000-0005-0000-0000-000089560000}"/>
    <cellStyle name="Note 13 3 2" xfId="21863" xr:uid="{00000000-0005-0000-0000-00008A560000}"/>
    <cellStyle name="Note 13 30" xfId="21864" xr:uid="{00000000-0005-0000-0000-00008B560000}"/>
    <cellStyle name="Note 13 31" xfId="21865" xr:uid="{00000000-0005-0000-0000-00008C560000}"/>
    <cellStyle name="Note 13 32" xfId="21866" xr:uid="{00000000-0005-0000-0000-00008D560000}"/>
    <cellStyle name="Note 13 33" xfId="21867" xr:uid="{00000000-0005-0000-0000-00008E560000}"/>
    <cellStyle name="Note 13 34" xfId="21868" xr:uid="{00000000-0005-0000-0000-00008F560000}"/>
    <cellStyle name="Note 13 35" xfId="21869" xr:uid="{00000000-0005-0000-0000-000090560000}"/>
    <cellStyle name="Note 13 36" xfId="21870" xr:uid="{00000000-0005-0000-0000-000091560000}"/>
    <cellStyle name="Note 13 37" xfId="21871" xr:uid="{00000000-0005-0000-0000-000092560000}"/>
    <cellStyle name="Note 13 38" xfId="21872" xr:uid="{00000000-0005-0000-0000-000093560000}"/>
    <cellStyle name="Note 13 39" xfId="21873" xr:uid="{00000000-0005-0000-0000-000094560000}"/>
    <cellStyle name="Note 13 4" xfId="21874" xr:uid="{00000000-0005-0000-0000-000095560000}"/>
    <cellStyle name="Note 13 4 2" xfId="21875" xr:uid="{00000000-0005-0000-0000-000096560000}"/>
    <cellStyle name="Note 13 40" xfId="21876" xr:uid="{00000000-0005-0000-0000-000097560000}"/>
    <cellStyle name="Note 13 41" xfId="21877" xr:uid="{00000000-0005-0000-0000-000098560000}"/>
    <cellStyle name="Note 13 42" xfId="21878" xr:uid="{00000000-0005-0000-0000-000099560000}"/>
    <cellStyle name="Note 13 43" xfId="21879" xr:uid="{00000000-0005-0000-0000-00009A560000}"/>
    <cellStyle name="Note 13 44" xfId="21880" xr:uid="{00000000-0005-0000-0000-00009B560000}"/>
    <cellStyle name="Note 13 45" xfId="21881" xr:uid="{00000000-0005-0000-0000-00009C560000}"/>
    <cellStyle name="Note 13 46" xfId="21882" xr:uid="{00000000-0005-0000-0000-00009D560000}"/>
    <cellStyle name="Note 13 47" xfId="21883" xr:uid="{00000000-0005-0000-0000-00009E560000}"/>
    <cellStyle name="Note 13 48" xfId="21884" xr:uid="{00000000-0005-0000-0000-00009F560000}"/>
    <cellStyle name="Note 13 5" xfId="21885" xr:uid="{00000000-0005-0000-0000-0000A0560000}"/>
    <cellStyle name="Note 13 5 2" xfId="21886" xr:uid="{00000000-0005-0000-0000-0000A1560000}"/>
    <cellStyle name="Note 13 6" xfId="21887" xr:uid="{00000000-0005-0000-0000-0000A2560000}"/>
    <cellStyle name="Note 13 6 2" xfId="21888" xr:uid="{00000000-0005-0000-0000-0000A3560000}"/>
    <cellStyle name="Note 13 7" xfId="21889" xr:uid="{00000000-0005-0000-0000-0000A4560000}"/>
    <cellStyle name="Note 13 7 2" xfId="21890" xr:uid="{00000000-0005-0000-0000-0000A5560000}"/>
    <cellStyle name="Note 13 8" xfId="21891" xr:uid="{00000000-0005-0000-0000-0000A6560000}"/>
    <cellStyle name="Note 13 8 2" xfId="21892" xr:uid="{00000000-0005-0000-0000-0000A7560000}"/>
    <cellStyle name="Note 13 9" xfId="21893" xr:uid="{00000000-0005-0000-0000-0000A8560000}"/>
    <cellStyle name="Note 13 9 2" xfId="21894" xr:uid="{00000000-0005-0000-0000-0000A9560000}"/>
    <cellStyle name="Note 14" xfId="21895" xr:uid="{00000000-0005-0000-0000-0000AA560000}"/>
    <cellStyle name="Note 14 10" xfId="21896" xr:uid="{00000000-0005-0000-0000-0000AB560000}"/>
    <cellStyle name="Note 14 11" xfId="21897" xr:uid="{00000000-0005-0000-0000-0000AC560000}"/>
    <cellStyle name="Note 14 12" xfId="21898" xr:uid="{00000000-0005-0000-0000-0000AD560000}"/>
    <cellStyle name="Note 14 13" xfId="21899" xr:uid="{00000000-0005-0000-0000-0000AE560000}"/>
    <cellStyle name="Note 14 14" xfId="21900" xr:uid="{00000000-0005-0000-0000-0000AF560000}"/>
    <cellStyle name="Note 14 15" xfId="21901" xr:uid="{00000000-0005-0000-0000-0000B0560000}"/>
    <cellStyle name="Note 14 16" xfId="21902" xr:uid="{00000000-0005-0000-0000-0000B1560000}"/>
    <cellStyle name="Note 14 17" xfId="21903" xr:uid="{00000000-0005-0000-0000-0000B2560000}"/>
    <cellStyle name="Note 14 18" xfId="21904" xr:uid="{00000000-0005-0000-0000-0000B3560000}"/>
    <cellStyle name="Note 14 19" xfId="21905" xr:uid="{00000000-0005-0000-0000-0000B4560000}"/>
    <cellStyle name="Note 14 2" xfId="21906" xr:uid="{00000000-0005-0000-0000-0000B5560000}"/>
    <cellStyle name="Note 14 2 2" xfId="21907" xr:uid="{00000000-0005-0000-0000-0000B6560000}"/>
    <cellStyle name="Note 14 20" xfId="21908" xr:uid="{00000000-0005-0000-0000-0000B7560000}"/>
    <cellStyle name="Note 14 21" xfId="21909" xr:uid="{00000000-0005-0000-0000-0000B8560000}"/>
    <cellStyle name="Note 14 22" xfId="21910" xr:uid="{00000000-0005-0000-0000-0000B9560000}"/>
    <cellStyle name="Note 14 23" xfId="21911" xr:uid="{00000000-0005-0000-0000-0000BA560000}"/>
    <cellStyle name="Note 14 24" xfId="21912" xr:uid="{00000000-0005-0000-0000-0000BB560000}"/>
    <cellStyle name="Note 14 25" xfId="21913" xr:uid="{00000000-0005-0000-0000-0000BC560000}"/>
    <cellStyle name="Note 14 26" xfId="21914" xr:uid="{00000000-0005-0000-0000-0000BD560000}"/>
    <cellStyle name="Note 14 27" xfId="21915" xr:uid="{00000000-0005-0000-0000-0000BE560000}"/>
    <cellStyle name="Note 14 28" xfId="21916" xr:uid="{00000000-0005-0000-0000-0000BF560000}"/>
    <cellStyle name="Note 14 29" xfId="21917" xr:uid="{00000000-0005-0000-0000-0000C0560000}"/>
    <cellStyle name="Note 14 3" xfId="21918" xr:uid="{00000000-0005-0000-0000-0000C1560000}"/>
    <cellStyle name="Note 14 3 2" xfId="21919" xr:uid="{00000000-0005-0000-0000-0000C2560000}"/>
    <cellStyle name="Note 14 30" xfId="21920" xr:uid="{00000000-0005-0000-0000-0000C3560000}"/>
    <cellStyle name="Note 14 31" xfId="21921" xr:uid="{00000000-0005-0000-0000-0000C4560000}"/>
    <cellStyle name="Note 14 32" xfId="21922" xr:uid="{00000000-0005-0000-0000-0000C5560000}"/>
    <cellStyle name="Note 14 33" xfId="21923" xr:uid="{00000000-0005-0000-0000-0000C6560000}"/>
    <cellStyle name="Note 14 34" xfId="21924" xr:uid="{00000000-0005-0000-0000-0000C7560000}"/>
    <cellStyle name="Note 14 35" xfId="21925" xr:uid="{00000000-0005-0000-0000-0000C8560000}"/>
    <cellStyle name="Note 14 36" xfId="21926" xr:uid="{00000000-0005-0000-0000-0000C9560000}"/>
    <cellStyle name="Note 14 37" xfId="21927" xr:uid="{00000000-0005-0000-0000-0000CA560000}"/>
    <cellStyle name="Note 14 38" xfId="21928" xr:uid="{00000000-0005-0000-0000-0000CB560000}"/>
    <cellStyle name="Note 14 39" xfId="21929" xr:uid="{00000000-0005-0000-0000-0000CC560000}"/>
    <cellStyle name="Note 14 4" xfId="21930" xr:uid="{00000000-0005-0000-0000-0000CD560000}"/>
    <cellStyle name="Note 14 4 2" xfId="21931" xr:uid="{00000000-0005-0000-0000-0000CE560000}"/>
    <cellStyle name="Note 14 40" xfId="21932" xr:uid="{00000000-0005-0000-0000-0000CF560000}"/>
    <cellStyle name="Note 14 41" xfId="21933" xr:uid="{00000000-0005-0000-0000-0000D0560000}"/>
    <cellStyle name="Note 14 42" xfId="21934" xr:uid="{00000000-0005-0000-0000-0000D1560000}"/>
    <cellStyle name="Note 14 43" xfId="21935" xr:uid="{00000000-0005-0000-0000-0000D2560000}"/>
    <cellStyle name="Note 14 44" xfId="21936" xr:uid="{00000000-0005-0000-0000-0000D3560000}"/>
    <cellStyle name="Note 14 45" xfId="21937" xr:uid="{00000000-0005-0000-0000-0000D4560000}"/>
    <cellStyle name="Note 14 46" xfId="21938" xr:uid="{00000000-0005-0000-0000-0000D5560000}"/>
    <cellStyle name="Note 14 47" xfId="21939" xr:uid="{00000000-0005-0000-0000-0000D6560000}"/>
    <cellStyle name="Note 14 48" xfId="21940" xr:uid="{00000000-0005-0000-0000-0000D7560000}"/>
    <cellStyle name="Note 14 5" xfId="21941" xr:uid="{00000000-0005-0000-0000-0000D8560000}"/>
    <cellStyle name="Note 14 5 2" xfId="21942" xr:uid="{00000000-0005-0000-0000-0000D9560000}"/>
    <cellStyle name="Note 14 6" xfId="21943" xr:uid="{00000000-0005-0000-0000-0000DA560000}"/>
    <cellStyle name="Note 14 6 2" xfId="21944" xr:uid="{00000000-0005-0000-0000-0000DB560000}"/>
    <cellStyle name="Note 14 7" xfId="21945" xr:uid="{00000000-0005-0000-0000-0000DC560000}"/>
    <cellStyle name="Note 14 7 2" xfId="21946" xr:uid="{00000000-0005-0000-0000-0000DD560000}"/>
    <cellStyle name="Note 14 8" xfId="21947" xr:uid="{00000000-0005-0000-0000-0000DE560000}"/>
    <cellStyle name="Note 14 8 2" xfId="21948" xr:uid="{00000000-0005-0000-0000-0000DF560000}"/>
    <cellStyle name="Note 14 9" xfId="21949" xr:uid="{00000000-0005-0000-0000-0000E0560000}"/>
    <cellStyle name="Note 14 9 2" xfId="21950" xr:uid="{00000000-0005-0000-0000-0000E1560000}"/>
    <cellStyle name="Note 15" xfId="21951" xr:uid="{00000000-0005-0000-0000-0000E2560000}"/>
    <cellStyle name="Note 15 10" xfId="21952" xr:uid="{00000000-0005-0000-0000-0000E3560000}"/>
    <cellStyle name="Note 15 11" xfId="21953" xr:uid="{00000000-0005-0000-0000-0000E4560000}"/>
    <cellStyle name="Note 15 12" xfId="21954" xr:uid="{00000000-0005-0000-0000-0000E5560000}"/>
    <cellStyle name="Note 15 13" xfId="21955" xr:uid="{00000000-0005-0000-0000-0000E6560000}"/>
    <cellStyle name="Note 15 14" xfId="21956" xr:uid="{00000000-0005-0000-0000-0000E7560000}"/>
    <cellStyle name="Note 15 15" xfId="21957" xr:uid="{00000000-0005-0000-0000-0000E8560000}"/>
    <cellStyle name="Note 15 16" xfId="21958" xr:uid="{00000000-0005-0000-0000-0000E9560000}"/>
    <cellStyle name="Note 15 17" xfId="21959" xr:uid="{00000000-0005-0000-0000-0000EA560000}"/>
    <cellStyle name="Note 15 18" xfId="21960" xr:uid="{00000000-0005-0000-0000-0000EB560000}"/>
    <cellStyle name="Note 15 19" xfId="21961" xr:uid="{00000000-0005-0000-0000-0000EC560000}"/>
    <cellStyle name="Note 15 2" xfId="21962" xr:uid="{00000000-0005-0000-0000-0000ED560000}"/>
    <cellStyle name="Note 15 2 2" xfId="21963" xr:uid="{00000000-0005-0000-0000-0000EE560000}"/>
    <cellStyle name="Note 15 20" xfId="21964" xr:uid="{00000000-0005-0000-0000-0000EF560000}"/>
    <cellStyle name="Note 15 21" xfId="21965" xr:uid="{00000000-0005-0000-0000-0000F0560000}"/>
    <cellStyle name="Note 15 22" xfId="21966" xr:uid="{00000000-0005-0000-0000-0000F1560000}"/>
    <cellStyle name="Note 15 23" xfId="21967" xr:uid="{00000000-0005-0000-0000-0000F2560000}"/>
    <cellStyle name="Note 15 24" xfId="21968" xr:uid="{00000000-0005-0000-0000-0000F3560000}"/>
    <cellStyle name="Note 15 25" xfId="21969" xr:uid="{00000000-0005-0000-0000-0000F4560000}"/>
    <cellStyle name="Note 15 26" xfId="21970" xr:uid="{00000000-0005-0000-0000-0000F5560000}"/>
    <cellStyle name="Note 15 27" xfId="21971" xr:uid="{00000000-0005-0000-0000-0000F6560000}"/>
    <cellStyle name="Note 15 28" xfId="21972" xr:uid="{00000000-0005-0000-0000-0000F7560000}"/>
    <cellStyle name="Note 15 29" xfId="21973" xr:uid="{00000000-0005-0000-0000-0000F8560000}"/>
    <cellStyle name="Note 15 3" xfId="21974" xr:uid="{00000000-0005-0000-0000-0000F9560000}"/>
    <cellStyle name="Note 15 3 2" xfId="21975" xr:uid="{00000000-0005-0000-0000-0000FA560000}"/>
    <cellStyle name="Note 15 30" xfId="21976" xr:uid="{00000000-0005-0000-0000-0000FB560000}"/>
    <cellStyle name="Note 15 31" xfId="21977" xr:uid="{00000000-0005-0000-0000-0000FC560000}"/>
    <cellStyle name="Note 15 32" xfId="21978" xr:uid="{00000000-0005-0000-0000-0000FD560000}"/>
    <cellStyle name="Note 15 33" xfId="21979" xr:uid="{00000000-0005-0000-0000-0000FE560000}"/>
    <cellStyle name="Note 15 34" xfId="21980" xr:uid="{00000000-0005-0000-0000-0000FF560000}"/>
    <cellStyle name="Note 15 35" xfId="21981" xr:uid="{00000000-0005-0000-0000-000000570000}"/>
    <cellStyle name="Note 15 36" xfId="21982" xr:uid="{00000000-0005-0000-0000-000001570000}"/>
    <cellStyle name="Note 15 37" xfId="21983" xr:uid="{00000000-0005-0000-0000-000002570000}"/>
    <cellStyle name="Note 15 38" xfId="21984" xr:uid="{00000000-0005-0000-0000-000003570000}"/>
    <cellStyle name="Note 15 39" xfId="21985" xr:uid="{00000000-0005-0000-0000-000004570000}"/>
    <cellStyle name="Note 15 4" xfId="21986" xr:uid="{00000000-0005-0000-0000-000005570000}"/>
    <cellStyle name="Note 15 4 2" xfId="21987" xr:uid="{00000000-0005-0000-0000-000006570000}"/>
    <cellStyle name="Note 15 40" xfId="21988" xr:uid="{00000000-0005-0000-0000-000007570000}"/>
    <cellStyle name="Note 15 41" xfId="21989" xr:uid="{00000000-0005-0000-0000-000008570000}"/>
    <cellStyle name="Note 15 42" xfId="21990" xr:uid="{00000000-0005-0000-0000-000009570000}"/>
    <cellStyle name="Note 15 43" xfId="21991" xr:uid="{00000000-0005-0000-0000-00000A570000}"/>
    <cellStyle name="Note 15 44" xfId="21992" xr:uid="{00000000-0005-0000-0000-00000B570000}"/>
    <cellStyle name="Note 15 45" xfId="21993" xr:uid="{00000000-0005-0000-0000-00000C570000}"/>
    <cellStyle name="Note 15 46" xfId="21994" xr:uid="{00000000-0005-0000-0000-00000D570000}"/>
    <cellStyle name="Note 15 47" xfId="21995" xr:uid="{00000000-0005-0000-0000-00000E570000}"/>
    <cellStyle name="Note 15 48" xfId="21996" xr:uid="{00000000-0005-0000-0000-00000F570000}"/>
    <cellStyle name="Note 15 5" xfId="21997" xr:uid="{00000000-0005-0000-0000-000010570000}"/>
    <cellStyle name="Note 15 5 2" xfId="21998" xr:uid="{00000000-0005-0000-0000-000011570000}"/>
    <cellStyle name="Note 15 6" xfId="21999" xr:uid="{00000000-0005-0000-0000-000012570000}"/>
    <cellStyle name="Note 15 6 2" xfId="22000" xr:uid="{00000000-0005-0000-0000-000013570000}"/>
    <cellStyle name="Note 15 7" xfId="22001" xr:uid="{00000000-0005-0000-0000-000014570000}"/>
    <cellStyle name="Note 15 7 2" xfId="22002" xr:uid="{00000000-0005-0000-0000-000015570000}"/>
    <cellStyle name="Note 15 8" xfId="22003" xr:uid="{00000000-0005-0000-0000-000016570000}"/>
    <cellStyle name="Note 15 8 2" xfId="22004" xr:uid="{00000000-0005-0000-0000-000017570000}"/>
    <cellStyle name="Note 15 9" xfId="22005" xr:uid="{00000000-0005-0000-0000-000018570000}"/>
    <cellStyle name="Note 15 9 2" xfId="22006" xr:uid="{00000000-0005-0000-0000-000019570000}"/>
    <cellStyle name="Note 16" xfId="22007" xr:uid="{00000000-0005-0000-0000-00001A570000}"/>
    <cellStyle name="Note 16 10" xfId="22008" xr:uid="{00000000-0005-0000-0000-00001B570000}"/>
    <cellStyle name="Note 16 11" xfId="22009" xr:uid="{00000000-0005-0000-0000-00001C570000}"/>
    <cellStyle name="Note 16 12" xfId="22010" xr:uid="{00000000-0005-0000-0000-00001D570000}"/>
    <cellStyle name="Note 16 13" xfId="22011" xr:uid="{00000000-0005-0000-0000-00001E570000}"/>
    <cellStyle name="Note 16 14" xfId="22012" xr:uid="{00000000-0005-0000-0000-00001F570000}"/>
    <cellStyle name="Note 16 15" xfId="22013" xr:uid="{00000000-0005-0000-0000-000020570000}"/>
    <cellStyle name="Note 16 16" xfId="22014" xr:uid="{00000000-0005-0000-0000-000021570000}"/>
    <cellStyle name="Note 16 17" xfId="22015" xr:uid="{00000000-0005-0000-0000-000022570000}"/>
    <cellStyle name="Note 16 18" xfId="22016" xr:uid="{00000000-0005-0000-0000-000023570000}"/>
    <cellStyle name="Note 16 19" xfId="22017" xr:uid="{00000000-0005-0000-0000-000024570000}"/>
    <cellStyle name="Note 16 2" xfId="22018" xr:uid="{00000000-0005-0000-0000-000025570000}"/>
    <cellStyle name="Note 16 2 2" xfId="22019" xr:uid="{00000000-0005-0000-0000-000026570000}"/>
    <cellStyle name="Note 16 20" xfId="22020" xr:uid="{00000000-0005-0000-0000-000027570000}"/>
    <cellStyle name="Note 16 21" xfId="22021" xr:uid="{00000000-0005-0000-0000-000028570000}"/>
    <cellStyle name="Note 16 22" xfId="22022" xr:uid="{00000000-0005-0000-0000-000029570000}"/>
    <cellStyle name="Note 16 23" xfId="22023" xr:uid="{00000000-0005-0000-0000-00002A570000}"/>
    <cellStyle name="Note 16 24" xfId="22024" xr:uid="{00000000-0005-0000-0000-00002B570000}"/>
    <cellStyle name="Note 16 25" xfId="22025" xr:uid="{00000000-0005-0000-0000-00002C570000}"/>
    <cellStyle name="Note 16 26" xfId="22026" xr:uid="{00000000-0005-0000-0000-00002D570000}"/>
    <cellStyle name="Note 16 27" xfId="22027" xr:uid="{00000000-0005-0000-0000-00002E570000}"/>
    <cellStyle name="Note 16 28" xfId="22028" xr:uid="{00000000-0005-0000-0000-00002F570000}"/>
    <cellStyle name="Note 16 29" xfId="22029" xr:uid="{00000000-0005-0000-0000-000030570000}"/>
    <cellStyle name="Note 16 3" xfId="22030" xr:uid="{00000000-0005-0000-0000-000031570000}"/>
    <cellStyle name="Note 16 3 2" xfId="22031" xr:uid="{00000000-0005-0000-0000-000032570000}"/>
    <cellStyle name="Note 16 30" xfId="22032" xr:uid="{00000000-0005-0000-0000-000033570000}"/>
    <cellStyle name="Note 16 31" xfId="22033" xr:uid="{00000000-0005-0000-0000-000034570000}"/>
    <cellStyle name="Note 16 32" xfId="22034" xr:uid="{00000000-0005-0000-0000-000035570000}"/>
    <cellStyle name="Note 16 33" xfId="22035" xr:uid="{00000000-0005-0000-0000-000036570000}"/>
    <cellStyle name="Note 16 34" xfId="22036" xr:uid="{00000000-0005-0000-0000-000037570000}"/>
    <cellStyle name="Note 16 35" xfId="22037" xr:uid="{00000000-0005-0000-0000-000038570000}"/>
    <cellStyle name="Note 16 36" xfId="22038" xr:uid="{00000000-0005-0000-0000-000039570000}"/>
    <cellStyle name="Note 16 37" xfId="22039" xr:uid="{00000000-0005-0000-0000-00003A570000}"/>
    <cellStyle name="Note 16 38" xfId="22040" xr:uid="{00000000-0005-0000-0000-00003B570000}"/>
    <cellStyle name="Note 16 39" xfId="22041" xr:uid="{00000000-0005-0000-0000-00003C570000}"/>
    <cellStyle name="Note 16 4" xfId="22042" xr:uid="{00000000-0005-0000-0000-00003D570000}"/>
    <cellStyle name="Note 16 4 2" xfId="22043" xr:uid="{00000000-0005-0000-0000-00003E570000}"/>
    <cellStyle name="Note 16 40" xfId="22044" xr:uid="{00000000-0005-0000-0000-00003F570000}"/>
    <cellStyle name="Note 16 41" xfId="22045" xr:uid="{00000000-0005-0000-0000-000040570000}"/>
    <cellStyle name="Note 16 42" xfId="22046" xr:uid="{00000000-0005-0000-0000-000041570000}"/>
    <cellStyle name="Note 16 43" xfId="22047" xr:uid="{00000000-0005-0000-0000-000042570000}"/>
    <cellStyle name="Note 16 44" xfId="22048" xr:uid="{00000000-0005-0000-0000-000043570000}"/>
    <cellStyle name="Note 16 45" xfId="22049" xr:uid="{00000000-0005-0000-0000-000044570000}"/>
    <cellStyle name="Note 16 46" xfId="22050" xr:uid="{00000000-0005-0000-0000-000045570000}"/>
    <cellStyle name="Note 16 47" xfId="22051" xr:uid="{00000000-0005-0000-0000-000046570000}"/>
    <cellStyle name="Note 16 48" xfId="22052" xr:uid="{00000000-0005-0000-0000-000047570000}"/>
    <cellStyle name="Note 16 5" xfId="22053" xr:uid="{00000000-0005-0000-0000-000048570000}"/>
    <cellStyle name="Note 16 5 2" xfId="22054" xr:uid="{00000000-0005-0000-0000-000049570000}"/>
    <cellStyle name="Note 16 6" xfId="22055" xr:uid="{00000000-0005-0000-0000-00004A570000}"/>
    <cellStyle name="Note 16 6 2" xfId="22056" xr:uid="{00000000-0005-0000-0000-00004B570000}"/>
    <cellStyle name="Note 16 7" xfId="22057" xr:uid="{00000000-0005-0000-0000-00004C570000}"/>
    <cellStyle name="Note 16 7 2" xfId="22058" xr:uid="{00000000-0005-0000-0000-00004D570000}"/>
    <cellStyle name="Note 16 8" xfId="22059" xr:uid="{00000000-0005-0000-0000-00004E570000}"/>
    <cellStyle name="Note 16 8 2" xfId="22060" xr:uid="{00000000-0005-0000-0000-00004F570000}"/>
    <cellStyle name="Note 16 9" xfId="22061" xr:uid="{00000000-0005-0000-0000-000050570000}"/>
    <cellStyle name="Note 16 9 2" xfId="22062" xr:uid="{00000000-0005-0000-0000-000051570000}"/>
    <cellStyle name="Note 17" xfId="22063" xr:uid="{00000000-0005-0000-0000-000052570000}"/>
    <cellStyle name="Note 17 10" xfId="22064" xr:uid="{00000000-0005-0000-0000-000053570000}"/>
    <cellStyle name="Note 17 11" xfId="22065" xr:uid="{00000000-0005-0000-0000-000054570000}"/>
    <cellStyle name="Note 17 12" xfId="22066" xr:uid="{00000000-0005-0000-0000-000055570000}"/>
    <cellStyle name="Note 17 13" xfId="22067" xr:uid="{00000000-0005-0000-0000-000056570000}"/>
    <cellStyle name="Note 17 14" xfId="22068" xr:uid="{00000000-0005-0000-0000-000057570000}"/>
    <cellStyle name="Note 17 15" xfId="22069" xr:uid="{00000000-0005-0000-0000-000058570000}"/>
    <cellStyle name="Note 17 16" xfId="22070" xr:uid="{00000000-0005-0000-0000-000059570000}"/>
    <cellStyle name="Note 17 17" xfId="22071" xr:uid="{00000000-0005-0000-0000-00005A570000}"/>
    <cellStyle name="Note 17 18" xfId="22072" xr:uid="{00000000-0005-0000-0000-00005B570000}"/>
    <cellStyle name="Note 17 19" xfId="22073" xr:uid="{00000000-0005-0000-0000-00005C570000}"/>
    <cellStyle name="Note 17 2" xfId="22074" xr:uid="{00000000-0005-0000-0000-00005D570000}"/>
    <cellStyle name="Note 17 2 2" xfId="22075" xr:uid="{00000000-0005-0000-0000-00005E570000}"/>
    <cellStyle name="Note 17 20" xfId="22076" xr:uid="{00000000-0005-0000-0000-00005F570000}"/>
    <cellStyle name="Note 17 21" xfId="22077" xr:uid="{00000000-0005-0000-0000-000060570000}"/>
    <cellStyle name="Note 17 22" xfId="22078" xr:uid="{00000000-0005-0000-0000-000061570000}"/>
    <cellStyle name="Note 17 23" xfId="22079" xr:uid="{00000000-0005-0000-0000-000062570000}"/>
    <cellStyle name="Note 17 24" xfId="22080" xr:uid="{00000000-0005-0000-0000-000063570000}"/>
    <cellStyle name="Note 17 25" xfId="22081" xr:uid="{00000000-0005-0000-0000-000064570000}"/>
    <cellStyle name="Note 17 26" xfId="22082" xr:uid="{00000000-0005-0000-0000-000065570000}"/>
    <cellStyle name="Note 17 27" xfId="22083" xr:uid="{00000000-0005-0000-0000-000066570000}"/>
    <cellStyle name="Note 17 28" xfId="22084" xr:uid="{00000000-0005-0000-0000-000067570000}"/>
    <cellStyle name="Note 17 29" xfId="22085" xr:uid="{00000000-0005-0000-0000-000068570000}"/>
    <cellStyle name="Note 17 3" xfId="22086" xr:uid="{00000000-0005-0000-0000-000069570000}"/>
    <cellStyle name="Note 17 3 2" xfId="22087" xr:uid="{00000000-0005-0000-0000-00006A570000}"/>
    <cellStyle name="Note 17 30" xfId="22088" xr:uid="{00000000-0005-0000-0000-00006B570000}"/>
    <cellStyle name="Note 17 31" xfId="22089" xr:uid="{00000000-0005-0000-0000-00006C570000}"/>
    <cellStyle name="Note 17 32" xfId="22090" xr:uid="{00000000-0005-0000-0000-00006D570000}"/>
    <cellStyle name="Note 17 33" xfId="22091" xr:uid="{00000000-0005-0000-0000-00006E570000}"/>
    <cellStyle name="Note 17 34" xfId="22092" xr:uid="{00000000-0005-0000-0000-00006F570000}"/>
    <cellStyle name="Note 17 35" xfId="22093" xr:uid="{00000000-0005-0000-0000-000070570000}"/>
    <cellStyle name="Note 17 36" xfId="22094" xr:uid="{00000000-0005-0000-0000-000071570000}"/>
    <cellStyle name="Note 17 37" xfId="22095" xr:uid="{00000000-0005-0000-0000-000072570000}"/>
    <cellStyle name="Note 17 38" xfId="22096" xr:uid="{00000000-0005-0000-0000-000073570000}"/>
    <cellStyle name="Note 17 39" xfId="22097" xr:uid="{00000000-0005-0000-0000-000074570000}"/>
    <cellStyle name="Note 17 4" xfId="22098" xr:uid="{00000000-0005-0000-0000-000075570000}"/>
    <cellStyle name="Note 17 4 2" xfId="22099" xr:uid="{00000000-0005-0000-0000-000076570000}"/>
    <cellStyle name="Note 17 40" xfId="22100" xr:uid="{00000000-0005-0000-0000-000077570000}"/>
    <cellStyle name="Note 17 41" xfId="22101" xr:uid="{00000000-0005-0000-0000-000078570000}"/>
    <cellStyle name="Note 17 42" xfId="22102" xr:uid="{00000000-0005-0000-0000-000079570000}"/>
    <cellStyle name="Note 17 43" xfId="22103" xr:uid="{00000000-0005-0000-0000-00007A570000}"/>
    <cellStyle name="Note 17 44" xfId="22104" xr:uid="{00000000-0005-0000-0000-00007B570000}"/>
    <cellStyle name="Note 17 45" xfId="22105" xr:uid="{00000000-0005-0000-0000-00007C570000}"/>
    <cellStyle name="Note 17 46" xfId="22106" xr:uid="{00000000-0005-0000-0000-00007D570000}"/>
    <cellStyle name="Note 17 47" xfId="22107" xr:uid="{00000000-0005-0000-0000-00007E570000}"/>
    <cellStyle name="Note 17 48" xfId="22108" xr:uid="{00000000-0005-0000-0000-00007F570000}"/>
    <cellStyle name="Note 17 5" xfId="22109" xr:uid="{00000000-0005-0000-0000-000080570000}"/>
    <cellStyle name="Note 17 5 2" xfId="22110" xr:uid="{00000000-0005-0000-0000-000081570000}"/>
    <cellStyle name="Note 17 6" xfId="22111" xr:uid="{00000000-0005-0000-0000-000082570000}"/>
    <cellStyle name="Note 17 6 2" xfId="22112" xr:uid="{00000000-0005-0000-0000-000083570000}"/>
    <cellStyle name="Note 17 7" xfId="22113" xr:uid="{00000000-0005-0000-0000-000084570000}"/>
    <cellStyle name="Note 17 7 2" xfId="22114" xr:uid="{00000000-0005-0000-0000-000085570000}"/>
    <cellStyle name="Note 17 8" xfId="22115" xr:uid="{00000000-0005-0000-0000-000086570000}"/>
    <cellStyle name="Note 17 8 2" xfId="22116" xr:uid="{00000000-0005-0000-0000-000087570000}"/>
    <cellStyle name="Note 17 9" xfId="22117" xr:uid="{00000000-0005-0000-0000-000088570000}"/>
    <cellStyle name="Note 17 9 2" xfId="22118" xr:uid="{00000000-0005-0000-0000-000089570000}"/>
    <cellStyle name="Note 18" xfId="22119" xr:uid="{00000000-0005-0000-0000-00008A570000}"/>
    <cellStyle name="Note 18 10" xfId="22120" xr:uid="{00000000-0005-0000-0000-00008B570000}"/>
    <cellStyle name="Note 18 11" xfId="22121" xr:uid="{00000000-0005-0000-0000-00008C570000}"/>
    <cellStyle name="Note 18 12" xfId="22122" xr:uid="{00000000-0005-0000-0000-00008D570000}"/>
    <cellStyle name="Note 18 13" xfId="22123" xr:uid="{00000000-0005-0000-0000-00008E570000}"/>
    <cellStyle name="Note 18 14" xfId="22124" xr:uid="{00000000-0005-0000-0000-00008F570000}"/>
    <cellStyle name="Note 18 15" xfId="22125" xr:uid="{00000000-0005-0000-0000-000090570000}"/>
    <cellStyle name="Note 18 16" xfId="22126" xr:uid="{00000000-0005-0000-0000-000091570000}"/>
    <cellStyle name="Note 18 17" xfId="22127" xr:uid="{00000000-0005-0000-0000-000092570000}"/>
    <cellStyle name="Note 18 18" xfId="22128" xr:uid="{00000000-0005-0000-0000-000093570000}"/>
    <cellStyle name="Note 18 19" xfId="22129" xr:uid="{00000000-0005-0000-0000-000094570000}"/>
    <cellStyle name="Note 18 2" xfId="22130" xr:uid="{00000000-0005-0000-0000-000095570000}"/>
    <cellStyle name="Note 18 2 2" xfId="22131" xr:uid="{00000000-0005-0000-0000-000096570000}"/>
    <cellStyle name="Note 18 20" xfId="22132" xr:uid="{00000000-0005-0000-0000-000097570000}"/>
    <cellStyle name="Note 18 21" xfId="22133" xr:uid="{00000000-0005-0000-0000-000098570000}"/>
    <cellStyle name="Note 18 22" xfId="22134" xr:uid="{00000000-0005-0000-0000-000099570000}"/>
    <cellStyle name="Note 18 23" xfId="22135" xr:uid="{00000000-0005-0000-0000-00009A570000}"/>
    <cellStyle name="Note 18 24" xfId="22136" xr:uid="{00000000-0005-0000-0000-00009B570000}"/>
    <cellStyle name="Note 18 25" xfId="22137" xr:uid="{00000000-0005-0000-0000-00009C570000}"/>
    <cellStyle name="Note 18 26" xfId="22138" xr:uid="{00000000-0005-0000-0000-00009D570000}"/>
    <cellStyle name="Note 18 27" xfId="22139" xr:uid="{00000000-0005-0000-0000-00009E570000}"/>
    <cellStyle name="Note 18 28" xfId="22140" xr:uid="{00000000-0005-0000-0000-00009F570000}"/>
    <cellStyle name="Note 18 29" xfId="22141" xr:uid="{00000000-0005-0000-0000-0000A0570000}"/>
    <cellStyle name="Note 18 3" xfId="22142" xr:uid="{00000000-0005-0000-0000-0000A1570000}"/>
    <cellStyle name="Note 18 3 2" xfId="22143" xr:uid="{00000000-0005-0000-0000-0000A2570000}"/>
    <cellStyle name="Note 18 30" xfId="22144" xr:uid="{00000000-0005-0000-0000-0000A3570000}"/>
    <cellStyle name="Note 18 31" xfId="22145" xr:uid="{00000000-0005-0000-0000-0000A4570000}"/>
    <cellStyle name="Note 18 32" xfId="22146" xr:uid="{00000000-0005-0000-0000-0000A5570000}"/>
    <cellStyle name="Note 18 33" xfId="22147" xr:uid="{00000000-0005-0000-0000-0000A6570000}"/>
    <cellStyle name="Note 18 34" xfId="22148" xr:uid="{00000000-0005-0000-0000-0000A7570000}"/>
    <cellStyle name="Note 18 35" xfId="22149" xr:uid="{00000000-0005-0000-0000-0000A8570000}"/>
    <cellStyle name="Note 18 36" xfId="22150" xr:uid="{00000000-0005-0000-0000-0000A9570000}"/>
    <cellStyle name="Note 18 37" xfId="22151" xr:uid="{00000000-0005-0000-0000-0000AA570000}"/>
    <cellStyle name="Note 18 38" xfId="22152" xr:uid="{00000000-0005-0000-0000-0000AB570000}"/>
    <cellStyle name="Note 18 39" xfId="22153" xr:uid="{00000000-0005-0000-0000-0000AC570000}"/>
    <cellStyle name="Note 18 4" xfId="22154" xr:uid="{00000000-0005-0000-0000-0000AD570000}"/>
    <cellStyle name="Note 18 4 2" xfId="22155" xr:uid="{00000000-0005-0000-0000-0000AE570000}"/>
    <cellStyle name="Note 18 40" xfId="22156" xr:uid="{00000000-0005-0000-0000-0000AF570000}"/>
    <cellStyle name="Note 18 41" xfId="22157" xr:uid="{00000000-0005-0000-0000-0000B0570000}"/>
    <cellStyle name="Note 18 42" xfId="22158" xr:uid="{00000000-0005-0000-0000-0000B1570000}"/>
    <cellStyle name="Note 18 43" xfId="22159" xr:uid="{00000000-0005-0000-0000-0000B2570000}"/>
    <cellStyle name="Note 18 44" xfId="22160" xr:uid="{00000000-0005-0000-0000-0000B3570000}"/>
    <cellStyle name="Note 18 45" xfId="22161" xr:uid="{00000000-0005-0000-0000-0000B4570000}"/>
    <cellStyle name="Note 18 46" xfId="22162" xr:uid="{00000000-0005-0000-0000-0000B5570000}"/>
    <cellStyle name="Note 18 47" xfId="22163" xr:uid="{00000000-0005-0000-0000-0000B6570000}"/>
    <cellStyle name="Note 18 48" xfId="22164" xr:uid="{00000000-0005-0000-0000-0000B7570000}"/>
    <cellStyle name="Note 18 5" xfId="22165" xr:uid="{00000000-0005-0000-0000-0000B8570000}"/>
    <cellStyle name="Note 18 5 2" xfId="22166" xr:uid="{00000000-0005-0000-0000-0000B9570000}"/>
    <cellStyle name="Note 18 6" xfId="22167" xr:uid="{00000000-0005-0000-0000-0000BA570000}"/>
    <cellStyle name="Note 18 6 2" xfId="22168" xr:uid="{00000000-0005-0000-0000-0000BB570000}"/>
    <cellStyle name="Note 18 7" xfId="22169" xr:uid="{00000000-0005-0000-0000-0000BC570000}"/>
    <cellStyle name="Note 18 7 2" xfId="22170" xr:uid="{00000000-0005-0000-0000-0000BD570000}"/>
    <cellStyle name="Note 18 8" xfId="22171" xr:uid="{00000000-0005-0000-0000-0000BE570000}"/>
    <cellStyle name="Note 18 8 2" xfId="22172" xr:uid="{00000000-0005-0000-0000-0000BF570000}"/>
    <cellStyle name="Note 18 9" xfId="22173" xr:uid="{00000000-0005-0000-0000-0000C0570000}"/>
    <cellStyle name="Note 18 9 2" xfId="22174" xr:uid="{00000000-0005-0000-0000-0000C1570000}"/>
    <cellStyle name="Note 19" xfId="22175" xr:uid="{00000000-0005-0000-0000-0000C2570000}"/>
    <cellStyle name="Note 19 10" xfId="22176" xr:uid="{00000000-0005-0000-0000-0000C3570000}"/>
    <cellStyle name="Note 19 11" xfId="22177" xr:uid="{00000000-0005-0000-0000-0000C4570000}"/>
    <cellStyle name="Note 19 12" xfId="22178" xr:uid="{00000000-0005-0000-0000-0000C5570000}"/>
    <cellStyle name="Note 19 13" xfId="22179" xr:uid="{00000000-0005-0000-0000-0000C6570000}"/>
    <cellStyle name="Note 19 14" xfId="22180" xr:uid="{00000000-0005-0000-0000-0000C7570000}"/>
    <cellStyle name="Note 19 15" xfId="22181" xr:uid="{00000000-0005-0000-0000-0000C8570000}"/>
    <cellStyle name="Note 19 16" xfId="22182" xr:uid="{00000000-0005-0000-0000-0000C9570000}"/>
    <cellStyle name="Note 19 17" xfId="22183" xr:uid="{00000000-0005-0000-0000-0000CA570000}"/>
    <cellStyle name="Note 19 18" xfId="22184" xr:uid="{00000000-0005-0000-0000-0000CB570000}"/>
    <cellStyle name="Note 19 19" xfId="22185" xr:uid="{00000000-0005-0000-0000-0000CC570000}"/>
    <cellStyle name="Note 19 2" xfId="22186" xr:uid="{00000000-0005-0000-0000-0000CD570000}"/>
    <cellStyle name="Note 19 2 2" xfId="22187" xr:uid="{00000000-0005-0000-0000-0000CE570000}"/>
    <cellStyle name="Note 19 20" xfId="22188" xr:uid="{00000000-0005-0000-0000-0000CF570000}"/>
    <cellStyle name="Note 19 21" xfId="22189" xr:uid="{00000000-0005-0000-0000-0000D0570000}"/>
    <cellStyle name="Note 19 22" xfId="22190" xr:uid="{00000000-0005-0000-0000-0000D1570000}"/>
    <cellStyle name="Note 19 23" xfId="22191" xr:uid="{00000000-0005-0000-0000-0000D2570000}"/>
    <cellStyle name="Note 19 24" xfId="22192" xr:uid="{00000000-0005-0000-0000-0000D3570000}"/>
    <cellStyle name="Note 19 25" xfId="22193" xr:uid="{00000000-0005-0000-0000-0000D4570000}"/>
    <cellStyle name="Note 19 26" xfId="22194" xr:uid="{00000000-0005-0000-0000-0000D5570000}"/>
    <cellStyle name="Note 19 27" xfId="22195" xr:uid="{00000000-0005-0000-0000-0000D6570000}"/>
    <cellStyle name="Note 19 28" xfId="22196" xr:uid="{00000000-0005-0000-0000-0000D7570000}"/>
    <cellStyle name="Note 19 29" xfId="22197" xr:uid="{00000000-0005-0000-0000-0000D8570000}"/>
    <cellStyle name="Note 19 3" xfId="22198" xr:uid="{00000000-0005-0000-0000-0000D9570000}"/>
    <cellStyle name="Note 19 3 2" xfId="22199" xr:uid="{00000000-0005-0000-0000-0000DA570000}"/>
    <cellStyle name="Note 19 30" xfId="22200" xr:uid="{00000000-0005-0000-0000-0000DB570000}"/>
    <cellStyle name="Note 19 31" xfId="22201" xr:uid="{00000000-0005-0000-0000-0000DC570000}"/>
    <cellStyle name="Note 19 32" xfId="22202" xr:uid="{00000000-0005-0000-0000-0000DD570000}"/>
    <cellStyle name="Note 19 33" xfId="22203" xr:uid="{00000000-0005-0000-0000-0000DE570000}"/>
    <cellStyle name="Note 19 34" xfId="22204" xr:uid="{00000000-0005-0000-0000-0000DF570000}"/>
    <cellStyle name="Note 19 35" xfId="22205" xr:uid="{00000000-0005-0000-0000-0000E0570000}"/>
    <cellStyle name="Note 19 36" xfId="22206" xr:uid="{00000000-0005-0000-0000-0000E1570000}"/>
    <cellStyle name="Note 19 37" xfId="22207" xr:uid="{00000000-0005-0000-0000-0000E2570000}"/>
    <cellStyle name="Note 19 38" xfId="22208" xr:uid="{00000000-0005-0000-0000-0000E3570000}"/>
    <cellStyle name="Note 19 39" xfId="22209" xr:uid="{00000000-0005-0000-0000-0000E4570000}"/>
    <cellStyle name="Note 19 4" xfId="22210" xr:uid="{00000000-0005-0000-0000-0000E5570000}"/>
    <cellStyle name="Note 19 4 2" xfId="22211" xr:uid="{00000000-0005-0000-0000-0000E6570000}"/>
    <cellStyle name="Note 19 40" xfId="22212" xr:uid="{00000000-0005-0000-0000-0000E7570000}"/>
    <cellStyle name="Note 19 41" xfId="22213" xr:uid="{00000000-0005-0000-0000-0000E8570000}"/>
    <cellStyle name="Note 19 42" xfId="22214" xr:uid="{00000000-0005-0000-0000-0000E9570000}"/>
    <cellStyle name="Note 19 43" xfId="22215" xr:uid="{00000000-0005-0000-0000-0000EA570000}"/>
    <cellStyle name="Note 19 44" xfId="22216" xr:uid="{00000000-0005-0000-0000-0000EB570000}"/>
    <cellStyle name="Note 19 45" xfId="22217" xr:uid="{00000000-0005-0000-0000-0000EC570000}"/>
    <cellStyle name="Note 19 46" xfId="22218" xr:uid="{00000000-0005-0000-0000-0000ED570000}"/>
    <cellStyle name="Note 19 47" xfId="22219" xr:uid="{00000000-0005-0000-0000-0000EE570000}"/>
    <cellStyle name="Note 19 48" xfId="22220" xr:uid="{00000000-0005-0000-0000-0000EF570000}"/>
    <cellStyle name="Note 19 5" xfId="22221" xr:uid="{00000000-0005-0000-0000-0000F0570000}"/>
    <cellStyle name="Note 19 5 2" xfId="22222" xr:uid="{00000000-0005-0000-0000-0000F1570000}"/>
    <cellStyle name="Note 19 6" xfId="22223" xr:uid="{00000000-0005-0000-0000-0000F2570000}"/>
    <cellStyle name="Note 19 6 2" xfId="22224" xr:uid="{00000000-0005-0000-0000-0000F3570000}"/>
    <cellStyle name="Note 19 7" xfId="22225" xr:uid="{00000000-0005-0000-0000-0000F4570000}"/>
    <cellStyle name="Note 19 7 2" xfId="22226" xr:uid="{00000000-0005-0000-0000-0000F5570000}"/>
    <cellStyle name="Note 19 8" xfId="22227" xr:uid="{00000000-0005-0000-0000-0000F6570000}"/>
    <cellStyle name="Note 19 8 2" xfId="22228" xr:uid="{00000000-0005-0000-0000-0000F7570000}"/>
    <cellStyle name="Note 19 9" xfId="22229" xr:uid="{00000000-0005-0000-0000-0000F8570000}"/>
    <cellStyle name="Note 19 9 2" xfId="22230" xr:uid="{00000000-0005-0000-0000-0000F9570000}"/>
    <cellStyle name="Note 2" xfId="22231" xr:uid="{00000000-0005-0000-0000-0000FA570000}"/>
    <cellStyle name="Note 2 10" xfId="22232" xr:uid="{00000000-0005-0000-0000-0000FB570000}"/>
    <cellStyle name="Note 2 10 2" xfId="22233" xr:uid="{00000000-0005-0000-0000-0000FC570000}"/>
    <cellStyle name="Note 2 10 3" xfId="22234" xr:uid="{00000000-0005-0000-0000-0000FD570000}"/>
    <cellStyle name="Note 2 10 4" xfId="22235" xr:uid="{00000000-0005-0000-0000-0000FE570000}"/>
    <cellStyle name="Note 2 10 5" xfId="22236" xr:uid="{00000000-0005-0000-0000-0000FF570000}"/>
    <cellStyle name="Note 2 10 6" xfId="22237" xr:uid="{00000000-0005-0000-0000-000000580000}"/>
    <cellStyle name="Note 2 10 7" xfId="22238" xr:uid="{00000000-0005-0000-0000-000001580000}"/>
    <cellStyle name="Note 2 11" xfId="22239" xr:uid="{00000000-0005-0000-0000-000002580000}"/>
    <cellStyle name="Note 2 11 2" xfId="22240" xr:uid="{00000000-0005-0000-0000-000003580000}"/>
    <cellStyle name="Note 2 11 3" xfId="22241" xr:uid="{00000000-0005-0000-0000-000004580000}"/>
    <cellStyle name="Note 2 11 4" xfId="22242" xr:uid="{00000000-0005-0000-0000-000005580000}"/>
    <cellStyle name="Note 2 11 5" xfId="22243" xr:uid="{00000000-0005-0000-0000-000006580000}"/>
    <cellStyle name="Note 2 11 6" xfId="22244" xr:uid="{00000000-0005-0000-0000-000007580000}"/>
    <cellStyle name="Note 2 11 7" xfId="22245" xr:uid="{00000000-0005-0000-0000-000008580000}"/>
    <cellStyle name="Note 2 12" xfId="22246" xr:uid="{00000000-0005-0000-0000-000009580000}"/>
    <cellStyle name="Note 2 12 2" xfId="22247" xr:uid="{00000000-0005-0000-0000-00000A580000}"/>
    <cellStyle name="Note 2 12 3" xfId="22248" xr:uid="{00000000-0005-0000-0000-00000B580000}"/>
    <cellStyle name="Note 2 12 4" xfId="22249" xr:uid="{00000000-0005-0000-0000-00000C580000}"/>
    <cellStyle name="Note 2 12 5" xfId="22250" xr:uid="{00000000-0005-0000-0000-00000D580000}"/>
    <cellStyle name="Note 2 12 6" xfId="22251" xr:uid="{00000000-0005-0000-0000-00000E580000}"/>
    <cellStyle name="Note 2 12 7" xfId="22252" xr:uid="{00000000-0005-0000-0000-00000F580000}"/>
    <cellStyle name="Note 2 13" xfId="22253" xr:uid="{00000000-0005-0000-0000-000010580000}"/>
    <cellStyle name="Note 2 14" xfId="22254" xr:uid="{00000000-0005-0000-0000-000011580000}"/>
    <cellStyle name="Note 2 15" xfId="22255" xr:uid="{00000000-0005-0000-0000-000012580000}"/>
    <cellStyle name="Note 2 16" xfId="22256" xr:uid="{00000000-0005-0000-0000-000013580000}"/>
    <cellStyle name="Note 2 17" xfId="22257" xr:uid="{00000000-0005-0000-0000-000014580000}"/>
    <cellStyle name="Note 2 18" xfId="22258" xr:uid="{00000000-0005-0000-0000-000015580000}"/>
    <cellStyle name="Note 2 19" xfId="22259" xr:uid="{00000000-0005-0000-0000-000016580000}"/>
    <cellStyle name="Note 2 2" xfId="22260" xr:uid="{00000000-0005-0000-0000-000017580000}"/>
    <cellStyle name="Note 2 2 2" xfId="22261" xr:uid="{00000000-0005-0000-0000-000018580000}"/>
    <cellStyle name="Note 2 2 2 2" xfId="22262" xr:uid="{00000000-0005-0000-0000-000019580000}"/>
    <cellStyle name="Note 2 2 2 3" xfId="22263" xr:uid="{00000000-0005-0000-0000-00001A580000}"/>
    <cellStyle name="Note 2 2 2 4" xfId="22264" xr:uid="{00000000-0005-0000-0000-00001B580000}"/>
    <cellStyle name="Note 2 2 2 5" xfId="22265" xr:uid="{00000000-0005-0000-0000-00001C580000}"/>
    <cellStyle name="Note 2 2 2 6" xfId="22266" xr:uid="{00000000-0005-0000-0000-00001D580000}"/>
    <cellStyle name="Note 2 2 2 7" xfId="22267" xr:uid="{00000000-0005-0000-0000-00001E580000}"/>
    <cellStyle name="Note 2 2 3" xfId="22268" xr:uid="{00000000-0005-0000-0000-00001F580000}"/>
    <cellStyle name="Note 2 2 4" xfId="22269" xr:uid="{00000000-0005-0000-0000-000020580000}"/>
    <cellStyle name="Note 2 2 5" xfId="22270" xr:uid="{00000000-0005-0000-0000-000021580000}"/>
    <cellStyle name="Note 2 2 6" xfId="22271" xr:uid="{00000000-0005-0000-0000-000022580000}"/>
    <cellStyle name="Note 2 2 7" xfId="22272" xr:uid="{00000000-0005-0000-0000-000023580000}"/>
    <cellStyle name="Note 2 20" xfId="22273" xr:uid="{00000000-0005-0000-0000-000024580000}"/>
    <cellStyle name="Note 2 21" xfId="22274" xr:uid="{00000000-0005-0000-0000-000025580000}"/>
    <cellStyle name="Note 2 22" xfId="22275" xr:uid="{00000000-0005-0000-0000-000026580000}"/>
    <cellStyle name="Note 2 23" xfId="22276" xr:uid="{00000000-0005-0000-0000-000027580000}"/>
    <cellStyle name="Note 2 24" xfId="22277" xr:uid="{00000000-0005-0000-0000-000028580000}"/>
    <cellStyle name="Note 2 25" xfId="22278" xr:uid="{00000000-0005-0000-0000-000029580000}"/>
    <cellStyle name="Note 2 26" xfId="22279" xr:uid="{00000000-0005-0000-0000-00002A580000}"/>
    <cellStyle name="Note 2 27" xfId="22280" xr:uid="{00000000-0005-0000-0000-00002B580000}"/>
    <cellStyle name="Note 2 28" xfId="22281" xr:uid="{00000000-0005-0000-0000-00002C580000}"/>
    <cellStyle name="Note 2 29" xfId="22282" xr:uid="{00000000-0005-0000-0000-00002D580000}"/>
    <cellStyle name="Note 2 3" xfId="22283" xr:uid="{00000000-0005-0000-0000-00002E580000}"/>
    <cellStyle name="Note 2 3 2" xfId="22284" xr:uid="{00000000-0005-0000-0000-00002F580000}"/>
    <cellStyle name="Note 2 3 2 2" xfId="22285" xr:uid="{00000000-0005-0000-0000-000030580000}"/>
    <cellStyle name="Note 2 3 2 3" xfId="22286" xr:uid="{00000000-0005-0000-0000-000031580000}"/>
    <cellStyle name="Note 2 3 2 4" xfId="22287" xr:uid="{00000000-0005-0000-0000-000032580000}"/>
    <cellStyle name="Note 2 3 2 5" xfId="22288" xr:uid="{00000000-0005-0000-0000-000033580000}"/>
    <cellStyle name="Note 2 3 2 6" xfId="22289" xr:uid="{00000000-0005-0000-0000-000034580000}"/>
    <cellStyle name="Note 2 3 2 7" xfId="22290" xr:uid="{00000000-0005-0000-0000-000035580000}"/>
    <cellStyle name="Note 2 3 3" xfId="22291" xr:uid="{00000000-0005-0000-0000-000036580000}"/>
    <cellStyle name="Note 2 3 4" xfId="22292" xr:uid="{00000000-0005-0000-0000-000037580000}"/>
    <cellStyle name="Note 2 3 5" xfId="22293" xr:uid="{00000000-0005-0000-0000-000038580000}"/>
    <cellStyle name="Note 2 3 6" xfId="22294" xr:uid="{00000000-0005-0000-0000-000039580000}"/>
    <cellStyle name="Note 2 3 7" xfId="22295" xr:uid="{00000000-0005-0000-0000-00003A580000}"/>
    <cellStyle name="Note 2 30" xfId="22296" xr:uid="{00000000-0005-0000-0000-00003B580000}"/>
    <cellStyle name="Note 2 31" xfId="22297" xr:uid="{00000000-0005-0000-0000-00003C580000}"/>
    <cellStyle name="Note 2 32" xfId="22298" xr:uid="{00000000-0005-0000-0000-00003D580000}"/>
    <cellStyle name="Note 2 33" xfId="22299" xr:uid="{00000000-0005-0000-0000-00003E580000}"/>
    <cellStyle name="Note 2 34" xfId="22300" xr:uid="{00000000-0005-0000-0000-00003F580000}"/>
    <cellStyle name="Note 2 35" xfId="22301" xr:uid="{00000000-0005-0000-0000-000040580000}"/>
    <cellStyle name="Note 2 36" xfId="22302" xr:uid="{00000000-0005-0000-0000-000041580000}"/>
    <cellStyle name="Note 2 37" xfId="22303" xr:uid="{00000000-0005-0000-0000-000042580000}"/>
    <cellStyle name="Note 2 38" xfId="22304" xr:uid="{00000000-0005-0000-0000-000043580000}"/>
    <cellStyle name="Note 2 39" xfId="22305" xr:uid="{00000000-0005-0000-0000-000044580000}"/>
    <cellStyle name="Note 2 4" xfId="22306" xr:uid="{00000000-0005-0000-0000-000045580000}"/>
    <cellStyle name="Note 2 4 2" xfId="22307" xr:uid="{00000000-0005-0000-0000-000046580000}"/>
    <cellStyle name="Note 2 4 2 2" xfId="22308" xr:uid="{00000000-0005-0000-0000-000047580000}"/>
    <cellStyle name="Note 2 4 2 3" xfId="22309" xr:uid="{00000000-0005-0000-0000-000048580000}"/>
    <cellStyle name="Note 2 4 2 4" xfId="22310" xr:uid="{00000000-0005-0000-0000-000049580000}"/>
    <cellStyle name="Note 2 4 2 5" xfId="22311" xr:uid="{00000000-0005-0000-0000-00004A580000}"/>
    <cellStyle name="Note 2 4 2 6" xfId="22312" xr:uid="{00000000-0005-0000-0000-00004B580000}"/>
    <cellStyle name="Note 2 4 2 7" xfId="22313" xr:uid="{00000000-0005-0000-0000-00004C580000}"/>
    <cellStyle name="Note 2 4 3" xfId="22314" xr:uid="{00000000-0005-0000-0000-00004D580000}"/>
    <cellStyle name="Note 2 4 4" xfId="22315" xr:uid="{00000000-0005-0000-0000-00004E580000}"/>
    <cellStyle name="Note 2 4 5" xfId="22316" xr:uid="{00000000-0005-0000-0000-00004F580000}"/>
    <cellStyle name="Note 2 4 6" xfId="22317" xr:uid="{00000000-0005-0000-0000-000050580000}"/>
    <cellStyle name="Note 2 4 7" xfId="22318" xr:uid="{00000000-0005-0000-0000-000051580000}"/>
    <cellStyle name="Note 2 40" xfId="22319" xr:uid="{00000000-0005-0000-0000-000052580000}"/>
    <cellStyle name="Note 2 41" xfId="22320" xr:uid="{00000000-0005-0000-0000-000053580000}"/>
    <cellStyle name="Note 2 42" xfId="22321" xr:uid="{00000000-0005-0000-0000-000054580000}"/>
    <cellStyle name="Note 2 43" xfId="22322" xr:uid="{00000000-0005-0000-0000-000055580000}"/>
    <cellStyle name="Note 2 44" xfId="22323" xr:uid="{00000000-0005-0000-0000-000056580000}"/>
    <cellStyle name="Note 2 45" xfId="22324" xr:uid="{00000000-0005-0000-0000-000057580000}"/>
    <cellStyle name="Note 2 46" xfId="22325" xr:uid="{00000000-0005-0000-0000-000058580000}"/>
    <cellStyle name="Note 2 47" xfId="22326" xr:uid="{00000000-0005-0000-0000-000059580000}"/>
    <cellStyle name="Note 2 48" xfId="22327" xr:uid="{00000000-0005-0000-0000-00005A580000}"/>
    <cellStyle name="Note 2 49" xfId="22328" xr:uid="{00000000-0005-0000-0000-00005B580000}"/>
    <cellStyle name="Note 2 5" xfId="22329" xr:uid="{00000000-0005-0000-0000-00005C580000}"/>
    <cellStyle name="Note 2 5 2" xfId="22330" xr:uid="{00000000-0005-0000-0000-00005D580000}"/>
    <cellStyle name="Note 2 5 2 2" xfId="22331" xr:uid="{00000000-0005-0000-0000-00005E580000}"/>
    <cellStyle name="Note 2 5 2 3" xfId="22332" xr:uid="{00000000-0005-0000-0000-00005F580000}"/>
    <cellStyle name="Note 2 5 2 4" xfId="22333" xr:uid="{00000000-0005-0000-0000-000060580000}"/>
    <cellStyle name="Note 2 5 2 5" xfId="22334" xr:uid="{00000000-0005-0000-0000-000061580000}"/>
    <cellStyle name="Note 2 5 2 6" xfId="22335" xr:uid="{00000000-0005-0000-0000-000062580000}"/>
    <cellStyle name="Note 2 5 2 7" xfId="22336" xr:uid="{00000000-0005-0000-0000-000063580000}"/>
    <cellStyle name="Note 2 5 3" xfId="22337" xr:uid="{00000000-0005-0000-0000-000064580000}"/>
    <cellStyle name="Note 2 5 4" xfId="22338" xr:uid="{00000000-0005-0000-0000-000065580000}"/>
    <cellStyle name="Note 2 5 5" xfId="22339" xr:uid="{00000000-0005-0000-0000-000066580000}"/>
    <cellStyle name="Note 2 5 6" xfId="22340" xr:uid="{00000000-0005-0000-0000-000067580000}"/>
    <cellStyle name="Note 2 5 7" xfId="22341" xr:uid="{00000000-0005-0000-0000-000068580000}"/>
    <cellStyle name="Note 2 50" xfId="30795" xr:uid="{00000000-0005-0000-0000-000069580000}"/>
    <cellStyle name="Note 2 6" xfId="22342" xr:uid="{00000000-0005-0000-0000-00006A580000}"/>
    <cellStyle name="Note 2 6 2" xfId="22343" xr:uid="{00000000-0005-0000-0000-00006B580000}"/>
    <cellStyle name="Note 2 6 2 2" xfId="22344" xr:uid="{00000000-0005-0000-0000-00006C580000}"/>
    <cellStyle name="Note 2 6 2 3" xfId="22345" xr:uid="{00000000-0005-0000-0000-00006D580000}"/>
    <cellStyle name="Note 2 6 2 4" xfId="22346" xr:uid="{00000000-0005-0000-0000-00006E580000}"/>
    <cellStyle name="Note 2 6 2 5" xfId="22347" xr:uid="{00000000-0005-0000-0000-00006F580000}"/>
    <cellStyle name="Note 2 6 2 6" xfId="22348" xr:uid="{00000000-0005-0000-0000-000070580000}"/>
    <cellStyle name="Note 2 6 2 7" xfId="22349" xr:uid="{00000000-0005-0000-0000-000071580000}"/>
    <cellStyle name="Note 2 6 3" xfId="22350" xr:uid="{00000000-0005-0000-0000-000072580000}"/>
    <cellStyle name="Note 2 6 4" xfId="22351" xr:uid="{00000000-0005-0000-0000-000073580000}"/>
    <cellStyle name="Note 2 6 5" xfId="22352" xr:uid="{00000000-0005-0000-0000-000074580000}"/>
    <cellStyle name="Note 2 6 6" xfId="22353" xr:uid="{00000000-0005-0000-0000-000075580000}"/>
    <cellStyle name="Note 2 6 7" xfId="22354" xr:uid="{00000000-0005-0000-0000-000076580000}"/>
    <cellStyle name="Note 2 7" xfId="22355" xr:uid="{00000000-0005-0000-0000-000077580000}"/>
    <cellStyle name="Note 2 7 2" xfId="22356" xr:uid="{00000000-0005-0000-0000-000078580000}"/>
    <cellStyle name="Note 2 7 2 2" xfId="22357" xr:uid="{00000000-0005-0000-0000-000079580000}"/>
    <cellStyle name="Note 2 7 2 3" xfId="22358" xr:uid="{00000000-0005-0000-0000-00007A580000}"/>
    <cellStyle name="Note 2 7 2 4" xfId="22359" xr:uid="{00000000-0005-0000-0000-00007B580000}"/>
    <cellStyle name="Note 2 7 2 5" xfId="22360" xr:uid="{00000000-0005-0000-0000-00007C580000}"/>
    <cellStyle name="Note 2 7 2 6" xfId="22361" xr:uid="{00000000-0005-0000-0000-00007D580000}"/>
    <cellStyle name="Note 2 7 2 7" xfId="22362" xr:uid="{00000000-0005-0000-0000-00007E580000}"/>
    <cellStyle name="Note 2 7 3" xfId="22363" xr:uid="{00000000-0005-0000-0000-00007F580000}"/>
    <cellStyle name="Note 2 7 4" xfId="22364" xr:uid="{00000000-0005-0000-0000-000080580000}"/>
    <cellStyle name="Note 2 7 5" xfId="22365" xr:uid="{00000000-0005-0000-0000-000081580000}"/>
    <cellStyle name="Note 2 7 6" xfId="22366" xr:uid="{00000000-0005-0000-0000-000082580000}"/>
    <cellStyle name="Note 2 7 7" xfId="22367" xr:uid="{00000000-0005-0000-0000-000083580000}"/>
    <cellStyle name="Note 2 8" xfId="22368" xr:uid="{00000000-0005-0000-0000-000084580000}"/>
    <cellStyle name="Note 2 8 10" xfId="22369" xr:uid="{00000000-0005-0000-0000-000085580000}"/>
    <cellStyle name="Note 2 8 11" xfId="22370" xr:uid="{00000000-0005-0000-0000-000086580000}"/>
    <cellStyle name="Note 2 8 12" xfId="22371" xr:uid="{00000000-0005-0000-0000-000087580000}"/>
    <cellStyle name="Note 2 8 2" xfId="22372" xr:uid="{00000000-0005-0000-0000-000088580000}"/>
    <cellStyle name="Note 2 8 2 2" xfId="22373" xr:uid="{00000000-0005-0000-0000-000089580000}"/>
    <cellStyle name="Note 2 8 3" xfId="22374" xr:uid="{00000000-0005-0000-0000-00008A580000}"/>
    <cellStyle name="Note 2 8 4" xfId="22375" xr:uid="{00000000-0005-0000-0000-00008B580000}"/>
    <cellStyle name="Note 2 8 5" xfId="22376" xr:uid="{00000000-0005-0000-0000-00008C580000}"/>
    <cellStyle name="Note 2 8 6" xfId="22377" xr:uid="{00000000-0005-0000-0000-00008D580000}"/>
    <cellStyle name="Note 2 8 7" xfId="22378" xr:uid="{00000000-0005-0000-0000-00008E580000}"/>
    <cellStyle name="Note 2 8 8" xfId="22379" xr:uid="{00000000-0005-0000-0000-00008F580000}"/>
    <cellStyle name="Note 2 8 9" xfId="22380" xr:uid="{00000000-0005-0000-0000-000090580000}"/>
    <cellStyle name="Note 2 9" xfId="22381" xr:uid="{00000000-0005-0000-0000-000091580000}"/>
    <cellStyle name="Note 2 9 2" xfId="22382" xr:uid="{00000000-0005-0000-0000-000092580000}"/>
    <cellStyle name="Note 2 9 2 2" xfId="22383" xr:uid="{00000000-0005-0000-0000-000093580000}"/>
    <cellStyle name="Note 2 9 2 3" xfId="22384" xr:uid="{00000000-0005-0000-0000-000094580000}"/>
    <cellStyle name="Note 2 9 2 4" xfId="22385" xr:uid="{00000000-0005-0000-0000-000095580000}"/>
    <cellStyle name="Note 2 9 2 5" xfId="22386" xr:uid="{00000000-0005-0000-0000-000096580000}"/>
    <cellStyle name="Note 2 9 2 6" xfId="22387" xr:uid="{00000000-0005-0000-0000-000097580000}"/>
    <cellStyle name="Note 2 9 2 7" xfId="22388" xr:uid="{00000000-0005-0000-0000-000098580000}"/>
    <cellStyle name="Note 2 9 3" xfId="22389" xr:uid="{00000000-0005-0000-0000-000099580000}"/>
    <cellStyle name="Note 2 9 4" xfId="22390" xr:uid="{00000000-0005-0000-0000-00009A580000}"/>
    <cellStyle name="Note 2 9 5" xfId="22391" xr:uid="{00000000-0005-0000-0000-00009B580000}"/>
    <cellStyle name="Note 2 9 6" xfId="22392" xr:uid="{00000000-0005-0000-0000-00009C580000}"/>
    <cellStyle name="Note 2 9 7" xfId="22393" xr:uid="{00000000-0005-0000-0000-00009D580000}"/>
    <cellStyle name="Note 20" xfId="22394" xr:uid="{00000000-0005-0000-0000-00009E580000}"/>
    <cellStyle name="Note 20 10" xfId="22395" xr:uid="{00000000-0005-0000-0000-00009F580000}"/>
    <cellStyle name="Note 20 11" xfId="22396" xr:uid="{00000000-0005-0000-0000-0000A0580000}"/>
    <cellStyle name="Note 20 12" xfId="22397" xr:uid="{00000000-0005-0000-0000-0000A1580000}"/>
    <cellStyle name="Note 20 13" xfId="22398" xr:uid="{00000000-0005-0000-0000-0000A2580000}"/>
    <cellStyle name="Note 20 14" xfId="22399" xr:uid="{00000000-0005-0000-0000-0000A3580000}"/>
    <cellStyle name="Note 20 15" xfId="22400" xr:uid="{00000000-0005-0000-0000-0000A4580000}"/>
    <cellStyle name="Note 20 16" xfId="22401" xr:uid="{00000000-0005-0000-0000-0000A5580000}"/>
    <cellStyle name="Note 20 17" xfId="22402" xr:uid="{00000000-0005-0000-0000-0000A6580000}"/>
    <cellStyle name="Note 20 18" xfId="22403" xr:uid="{00000000-0005-0000-0000-0000A7580000}"/>
    <cellStyle name="Note 20 19" xfId="22404" xr:uid="{00000000-0005-0000-0000-0000A8580000}"/>
    <cellStyle name="Note 20 2" xfId="22405" xr:uid="{00000000-0005-0000-0000-0000A9580000}"/>
    <cellStyle name="Note 20 2 2" xfId="22406" xr:uid="{00000000-0005-0000-0000-0000AA580000}"/>
    <cellStyle name="Note 20 20" xfId="22407" xr:uid="{00000000-0005-0000-0000-0000AB580000}"/>
    <cellStyle name="Note 20 21" xfId="22408" xr:uid="{00000000-0005-0000-0000-0000AC580000}"/>
    <cellStyle name="Note 20 22" xfId="22409" xr:uid="{00000000-0005-0000-0000-0000AD580000}"/>
    <cellStyle name="Note 20 23" xfId="22410" xr:uid="{00000000-0005-0000-0000-0000AE580000}"/>
    <cellStyle name="Note 20 24" xfId="22411" xr:uid="{00000000-0005-0000-0000-0000AF580000}"/>
    <cellStyle name="Note 20 25" xfId="22412" xr:uid="{00000000-0005-0000-0000-0000B0580000}"/>
    <cellStyle name="Note 20 26" xfId="22413" xr:uid="{00000000-0005-0000-0000-0000B1580000}"/>
    <cellStyle name="Note 20 27" xfId="22414" xr:uid="{00000000-0005-0000-0000-0000B2580000}"/>
    <cellStyle name="Note 20 28" xfId="22415" xr:uid="{00000000-0005-0000-0000-0000B3580000}"/>
    <cellStyle name="Note 20 29" xfId="22416" xr:uid="{00000000-0005-0000-0000-0000B4580000}"/>
    <cellStyle name="Note 20 3" xfId="22417" xr:uid="{00000000-0005-0000-0000-0000B5580000}"/>
    <cellStyle name="Note 20 3 2" xfId="22418" xr:uid="{00000000-0005-0000-0000-0000B6580000}"/>
    <cellStyle name="Note 20 30" xfId="22419" xr:uid="{00000000-0005-0000-0000-0000B7580000}"/>
    <cellStyle name="Note 20 31" xfId="22420" xr:uid="{00000000-0005-0000-0000-0000B8580000}"/>
    <cellStyle name="Note 20 32" xfId="22421" xr:uid="{00000000-0005-0000-0000-0000B9580000}"/>
    <cellStyle name="Note 20 33" xfId="22422" xr:uid="{00000000-0005-0000-0000-0000BA580000}"/>
    <cellStyle name="Note 20 34" xfId="22423" xr:uid="{00000000-0005-0000-0000-0000BB580000}"/>
    <cellStyle name="Note 20 35" xfId="22424" xr:uid="{00000000-0005-0000-0000-0000BC580000}"/>
    <cellStyle name="Note 20 36" xfId="22425" xr:uid="{00000000-0005-0000-0000-0000BD580000}"/>
    <cellStyle name="Note 20 37" xfId="22426" xr:uid="{00000000-0005-0000-0000-0000BE580000}"/>
    <cellStyle name="Note 20 38" xfId="22427" xr:uid="{00000000-0005-0000-0000-0000BF580000}"/>
    <cellStyle name="Note 20 39" xfId="22428" xr:uid="{00000000-0005-0000-0000-0000C0580000}"/>
    <cellStyle name="Note 20 4" xfId="22429" xr:uid="{00000000-0005-0000-0000-0000C1580000}"/>
    <cellStyle name="Note 20 4 2" xfId="22430" xr:uid="{00000000-0005-0000-0000-0000C2580000}"/>
    <cellStyle name="Note 20 40" xfId="22431" xr:uid="{00000000-0005-0000-0000-0000C3580000}"/>
    <cellStyle name="Note 20 41" xfId="22432" xr:uid="{00000000-0005-0000-0000-0000C4580000}"/>
    <cellStyle name="Note 20 42" xfId="22433" xr:uid="{00000000-0005-0000-0000-0000C5580000}"/>
    <cellStyle name="Note 20 43" xfId="22434" xr:uid="{00000000-0005-0000-0000-0000C6580000}"/>
    <cellStyle name="Note 20 44" xfId="22435" xr:uid="{00000000-0005-0000-0000-0000C7580000}"/>
    <cellStyle name="Note 20 45" xfId="22436" xr:uid="{00000000-0005-0000-0000-0000C8580000}"/>
    <cellStyle name="Note 20 46" xfId="22437" xr:uid="{00000000-0005-0000-0000-0000C9580000}"/>
    <cellStyle name="Note 20 47" xfId="22438" xr:uid="{00000000-0005-0000-0000-0000CA580000}"/>
    <cellStyle name="Note 20 48" xfId="22439" xr:uid="{00000000-0005-0000-0000-0000CB580000}"/>
    <cellStyle name="Note 20 5" xfId="22440" xr:uid="{00000000-0005-0000-0000-0000CC580000}"/>
    <cellStyle name="Note 20 5 2" xfId="22441" xr:uid="{00000000-0005-0000-0000-0000CD580000}"/>
    <cellStyle name="Note 20 6" xfId="22442" xr:uid="{00000000-0005-0000-0000-0000CE580000}"/>
    <cellStyle name="Note 20 6 2" xfId="22443" xr:uid="{00000000-0005-0000-0000-0000CF580000}"/>
    <cellStyle name="Note 20 7" xfId="22444" xr:uid="{00000000-0005-0000-0000-0000D0580000}"/>
    <cellStyle name="Note 20 7 2" xfId="22445" xr:uid="{00000000-0005-0000-0000-0000D1580000}"/>
    <cellStyle name="Note 20 8" xfId="22446" xr:uid="{00000000-0005-0000-0000-0000D2580000}"/>
    <cellStyle name="Note 20 8 2" xfId="22447" xr:uid="{00000000-0005-0000-0000-0000D3580000}"/>
    <cellStyle name="Note 20 9" xfId="22448" xr:uid="{00000000-0005-0000-0000-0000D4580000}"/>
    <cellStyle name="Note 20 9 2" xfId="22449" xr:uid="{00000000-0005-0000-0000-0000D5580000}"/>
    <cellStyle name="Note 21" xfId="22450" xr:uid="{00000000-0005-0000-0000-0000D6580000}"/>
    <cellStyle name="Note 21 10" xfId="22451" xr:uid="{00000000-0005-0000-0000-0000D7580000}"/>
    <cellStyle name="Note 21 11" xfId="22452" xr:uid="{00000000-0005-0000-0000-0000D8580000}"/>
    <cellStyle name="Note 21 12" xfId="22453" xr:uid="{00000000-0005-0000-0000-0000D9580000}"/>
    <cellStyle name="Note 21 13" xfId="22454" xr:uid="{00000000-0005-0000-0000-0000DA580000}"/>
    <cellStyle name="Note 21 14" xfId="22455" xr:uid="{00000000-0005-0000-0000-0000DB580000}"/>
    <cellStyle name="Note 21 15" xfId="22456" xr:uid="{00000000-0005-0000-0000-0000DC580000}"/>
    <cellStyle name="Note 21 16" xfId="22457" xr:uid="{00000000-0005-0000-0000-0000DD580000}"/>
    <cellStyle name="Note 21 17" xfId="22458" xr:uid="{00000000-0005-0000-0000-0000DE580000}"/>
    <cellStyle name="Note 21 18" xfId="22459" xr:uid="{00000000-0005-0000-0000-0000DF580000}"/>
    <cellStyle name="Note 21 19" xfId="22460" xr:uid="{00000000-0005-0000-0000-0000E0580000}"/>
    <cellStyle name="Note 21 2" xfId="22461" xr:uid="{00000000-0005-0000-0000-0000E1580000}"/>
    <cellStyle name="Note 21 2 2" xfId="22462" xr:uid="{00000000-0005-0000-0000-0000E2580000}"/>
    <cellStyle name="Note 21 20" xfId="22463" xr:uid="{00000000-0005-0000-0000-0000E3580000}"/>
    <cellStyle name="Note 21 21" xfId="22464" xr:uid="{00000000-0005-0000-0000-0000E4580000}"/>
    <cellStyle name="Note 21 22" xfId="22465" xr:uid="{00000000-0005-0000-0000-0000E5580000}"/>
    <cellStyle name="Note 21 23" xfId="22466" xr:uid="{00000000-0005-0000-0000-0000E6580000}"/>
    <cellStyle name="Note 21 24" xfId="22467" xr:uid="{00000000-0005-0000-0000-0000E7580000}"/>
    <cellStyle name="Note 21 25" xfId="22468" xr:uid="{00000000-0005-0000-0000-0000E8580000}"/>
    <cellStyle name="Note 21 26" xfId="22469" xr:uid="{00000000-0005-0000-0000-0000E9580000}"/>
    <cellStyle name="Note 21 27" xfId="22470" xr:uid="{00000000-0005-0000-0000-0000EA580000}"/>
    <cellStyle name="Note 21 28" xfId="22471" xr:uid="{00000000-0005-0000-0000-0000EB580000}"/>
    <cellStyle name="Note 21 29" xfId="22472" xr:uid="{00000000-0005-0000-0000-0000EC580000}"/>
    <cellStyle name="Note 21 3" xfId="22473" xr:uid="{00000000-0005-0000-0000-0000ED580000}"/>
    <cellStyle name="Note 21 3 2" xfId="22474" xr:uid="{00000000-0005-0000-0000-0000EE580000}"/>
    <cellStyle name="Note 21 30" xfId="22475" xr:uid="{00000000-0005-0000-0000-0000EF580000}"/>
    <cellStyle name="Note 21 31" xfId="22476" xr:uid="{00000000-0005-0000-0000-0000F0580000}"/>
    <cellStyle name="Note 21 32" xfId="22477" xr:uid="{00000000-0005-0000-0000-0000F1580000}"/>
    <cellStyle name="Note 21 33" xfId="22478" xr:uid="{00000000-0005-0000-0000-0000F2580000}"/>
    <cellStyle name="Note 21 34" xfId="22479" xr:uid="{00000000-0005-0000-0000-0000F3580000}"/>
    <cellStyle name="Note 21 35" xfId="22480" xr:uid="{00000000-0005-0000-0000-0000F4580000}"/>
    <cellStyle name="Note 21 36" xfId="22481" xr:uid="{00000000-0005-0000-0000-0000F5580000}"/>
    <cellStyle name="Note 21 37" xfId="22482" xr:uid="{00000000-0005-0000-0000-0000F6580000}"/>
    <cellStyle name="Note 21 38" xfId="22483" xr:uid="{00000000-0005-0000-0000-0000F7580000}"/>
    <cellStyle name="Note 21 39" xfId="22484" xr:uid="{00000000-0005-0000-0000-0000F8580000}"/>
    <cellStyle name="Note 21 4" xfId="22485" xr:uid="{00000000-0005-0000-0000-0000F9580000}"/>
    <cellStyle name="Note 21 4 2" xfId="22486" xr:uid="{00000000-0005-0000-0000-0000FA580000}"/>
    <cellStyle name="Note 21 40" xfId="22487" xr:uid="{00000000-0005-0000-0000-0000FB580000}"/>
    <cellStyle name="Note 21 41" xfId="22488" xr:uid="{00000000-0005-0000-0000-0000FC580000}"/>
    <cellStyle name="Note 21 42" xfId="22489" xr:uid="{00000000-0005-0000-0000-0000FD580000}"/>
    <cellStyle name="Note 21 43" xfId="22490" xr:uid="{00000000-0005-0000-0000-0000FE580000}"/>
    <cellStyle name="Note 21 44" xfId="22491" xr:uid="{00000000-0005-0000-0000-0000FF580000}"/>
    <cellStyle name="Note 21 45" xfId="22492" xr:uid="{00000000-0005-0000-0000-000000590000}"/>
    <cellStyle name="Note 21 46" xfId="22493" xr:uid="{00000000-0005-0000-0000-000001590000}"/>
    <cellStyle name="Note 21 47" xfId="22494" xr:uid="{00000000-0005-0000-0000-000002590000}"/>
    <cellStyle name="Note 21 48" xfId="22495" xr:uid="{00000000-0005-0000-0000-000003590000}"/>
    <cellStyle name="Note 21 5" xfId="22496" xr:uid="{00000000-0005-0000-0000-000004590000}"/>
    <cellStyle name="Note 21 5 2" xfId="22497" xr:uid="{00000000-0005-0000-0000-000005590000}"/>
    <cellStyle name="Note 21 6" xfId="22498" xr:uid="{00000000-0005-0000-0000-000006590000}"/>
    <cellStyle name="Note 21 6 2" xfId="22499" xr:uid="{00000000-0005-0000-0000-000007590000}"/>
    <cellStyle name="Note 21 7" xfId="22500" xr:uid="{00000000-0005-0000-0000-000008590000}"/>
    <cellStyle name="Note 21 7 2" xfId="22501" xr:uid="{00000000-0005-0000-0000-000009590000}"/>
    <cellStyle name="Note 21 8" xfId="22502" xr:uid="{00000000-0005-0000-0000-00000A590000}"/>
    <cellStyle name="Note 21 8 2" xfId="22503" xr:uid="{00000000-0005-0000-0000-00000B590000}"/>
    <cellStyle name="Note 21 9" xfId="22504" xr:uid="{00000000-0005-0000-0000-00000C590000}"/>
    <cellStyle name="Note 21 9 2" xfId="22505" xr:uid="{00000000-0005-0000-0000-00000D590000}"/>
    <cellStyle name="Note 22" xfId="22506" xr:uid="{00000000-0005-0000-0000-00000E590000}"/>
    <cellStyle name="Note 22 10" xfId="22507" xr:uid="{00000000-0005-0000-0000-00000F590000}"/>
    <cellStyle name="Note 22 11" xfId="22508" xr:uid="{00000000-0005-0000-0000-000010590000}"/>
    <cellStyle name="Note 22 12" xfId="22509" xr:uid="{00000000-0005-0000-0000-000011590000}"/>
    <cellStyle name="Note 22 13" xfId="22510" xr:uid="{00000000-0005-0000-0000-000012590000}"/>
    <cellStyle name="Note 22 14" xfId="22511" xr:uid="{00000000-0005-0000-0000-000013590000}"/>
    <cellStyle name="Note 22 15" xfId="22512" xr:uid="{00000000-0005-0000-0000-000014590000}"/>
    <cellStyle name="Note 22 2" xfId="22513" xr:uid="{00000000-0005-0000-0000-000015590000}"/>
    <cellStyle name="Note 22 2 2" xfId="22514" xr:uid="{00000000-0005-0000-0000-000016590000}"/>
    <cellStyle name="Note 22 2 3" xfId="22515" xr:uid="{00000000-0005-0000-0000-000017590000}"/>
    <cellStyle name="Note 22 2 4" xfId="22516" xr:uid="{00000000-0005-0000-0000-000018590000}"/>
    <cellStyle name="Note 22 2 5" xfId="22517" xr:uid="{00000000-0005-0000-0000-000019590000}"/>
    <cellStyle name="Note 22 2 6" xfId="22518" xr:uid="{00000000-0005-0000-0000-00001A590000}"/>
    <cellStyle name="Note 22 2 7" xfId="22519" xr:uid="{00000000-0005-0000-0000-00001B590000}"/>
    <cellStyle name="Note 22 3" xfId="22520" xr:uid="{00000000-0005-0000-0000-00001C590000}"/>
    <cellStyle name="Note 22 4" xfId="22521" xr:uid="{00000000-0005-0000-0000-00001D590000}"/>
    <cellStyle name="Note 22 5" xfId="22522" xr:uid="{00000000-0005-0000-0000-00001E590000}"/>
    <cellStyle name="Note 22 6" xfId="22523" xr:uid="{00000000-0005-0000-0000-00001F590000}"/>
    <cellStyle name="Note 22 7" xfId="22524" xr:uid="{00000000-0005-0000-0000-000020590000}"/>
    <cellStyle name="Note 22 8" xfId="22525" xr:uid="{00000000-0005-0000-0000-000021590000}"/>
    <cellStyle name="Note 22 9" xfId="22526" xr:uid="{00000000-0005-0000-0000-000022590000}"/>
    <cellStyle name="Note 23" xfId="22527" xr:uid="{00000000-0005-0000-0000-000023590000}"/>
    <cellStyle name="Note 23 10" xfId="22528" xr:uid="{00000000-0005-0000-0000-000024590000}"/>
    <cellStyle name="Note 23 11" xfId="22529" xr:uid="{00000000-0005-0000-0000-000025590000}"/>
    <cellStyle name="Note 23 12" xfId="22530" xr:uid="{00000000-0005-0000-0000-000026590000}"/>
    <cellStyle name="Note 23 13" xfId="22531" xr:uid="{00000000-0005-0000-0000-000027590000}"/>
    <cellStyle name="Note 23 14" xfId="22532" xr:uid="{00000000-0005-0000-0000-000028590000}"/>
    <cellStyle name="Note 23 15" xfId="22533" xr:uid="{00000000-0005-0000-0000-000029590000}"/>
    <cellStyle name="Note 23 2" xfId="22534" xr:uid="{00000000-0005-0000-0000-00002A590000}"/>
    <cellStyle name="Note 23 2 2" xfId="22535" xr:uid="{00000000-0005-0000-0000-00002B590000}"/>
    <cellStyle name="Note 23 2 3" xfId="22536" xr:uid="{00000000-0005-0000-0000-00002C590000}"/>
    <cellStyle name="Note 23 2 4" xfId="22537" xr:uid="{00000000-0005-0000-0000-00002D590000}"/>
    <cellStyle name="Note 23 2 5" xfId="22538" xr:uid="{00000000-0005-0000-0000-00002E590000}"/>
    <cellStyle name="Note 23 2 6" xfId="22539" xr:uid="{00000000-0005-0000-0000-00002F590000}"/>
    <cellStyle name="Note 23 2 7" xfId="22540" xr:uid="{00000000-0005-0000-0000-000030590000}"/>
    <cellStyle name="Note 23 3" xfId="22541" xr:uid="{00000000-0005-0000-0000-000031590000}"/>
    <cellStyle name="Note 23 4" xfId="22542" xr:uid="{00000000-0005-0000-0000-000032590000}"/>
    <cellStyle name="Note 23 5" xfId="22543" xr:uid="{00000000-0005-0000-0000-000033590000}"/>
    <cellStyle name="Note 23 6" xfId="22544" xr:uid="{00000000-0005-0000-0000-000034590000}"/>
    <cellStyle name="Note 23 7" xfId="22545" xr:uid="{00000000-0005-0000-0000-000035590000}"/>
    <cellStyle name="Note 23 8" xfId="22546" xr:uid="{00000000-0005-0000-0000-000036590000}"/>
    <cellStyle name="Note 23 9" xfId="22547" xr:uid="{00000000-0005-0000-0000-000037590000}"/>
    <cellStyle name="Note 24" xfId="22548" xr:uid="{00000000-0005-0000-0000-000038590000}"/>
    <cellStyle name="Note 24 10" xfId="22549" xr:uid="{00000000-0005-0000-0000-000039590000}"/>
    <cellStyle name="Note 24 11" xfId="22550" xr:uid="{00000000-0005-0000-0000-00003A590000}"/>
    <cellStyle name="Note 24 12" xfId="22551" xr:uid="{00000000-0005-0000-0000-00003B590000}"/>
    <cellStyle name="Note 24 13" xfId="22552" xr:uid="{00000000-0005-0000-0000-00003C590000}"/>
    <cellStyle name="Note 24 14" xfId="22553" xr:uid="{00000000-0005-0000-0000-00003D590000}"/>
    <cellStyle name="Note 24 2" xfId="22554" xr:uid="{00000000-0005-0000-0000-00003E590000}"/>
    <cellStyle name="Note 24 2 2" xfId="22555" xr:uid="{00000000-0005-0000-0000-00003F590000}"/>
    <cellStyle name="Note 24 2 3" xfId="22556" xr:uid="{00000000-0005-0000-0000-000040590000}"/>
    <cellStyle name="Note 24 2 4" xfId="22557" xr:uid="{00000000-0005-0000-0000-000041590000}"/>
    <cellStyle name="Note 24 2 5" xfId="22558" xr:uid="{00000000-0005-0000-0000-000042590000}"/>
    <cellStyle name="Note 24 2 6" xfId="22559" xr:uid="{00000000-0005-0000-0000-000043590000}"/>
    <cellStyle name="Note 24 2 7" xfId="22560" xr:uid="{00000000-0005-0000-0000-000044590000}"/>
    <cellStyle name="Note 24 3" xfId="22561" xr:uid="{00000000-0005-0000-0000-000045590000}"/>
    <cellStyle name="Note 24 4" xfId="22562" xr:uid="{00000000-0005-0000-0000-000046590000}"/>
    <cellStyle name="Note 24 5" xfId="22563" xr:uid="{00000000-0005-0000-0000-000047590000}"/>
    <cellStyle name="Note 24 6" xfId="22564" xr:uid="{00000000-0005-0000-0000-000048590000}"/>
    <cellStyle name="Note 24 7" xfId="22565" xr:uid="{00000000-0005-0000-0000-000049590000}"/>
    <cellStyle name="Note 24 8" xfId="22566" xr:uid="{00000000-0005-0000-0000-00004A590000}"/>
    <cellStyle name="Note 24 9" xfId="22567" xr:uid="{00000000-0005-0000-0000-00004B590000}"/>
    <cellStyle name="Note 25" xfId="22568" xr:uid="{00000000-0005-0000-0000-00004C590000}"/>
    <cellStyle name="Note 25 10" xfId="22569" xr:uid="{00000000-0005-0000-0000-00004D590000}"/>
    <cellStyle name="Note 25 10 2" xfId="22570" xr:uid="{00000000-0005-0000-0000-00004E590000}"/>
    <cellStyle name="Note 25 10 3" xfId="22571" xr:uid="{00000000-0005-0000-0000-00004F590000}"/>
    <cellStyle name="Note 25 11" xfId="22572" xr:uid="{00000000-0005-0000-0000-000050590000}"/>
    <cellStyle name="Note 25 12" xfId="22573" xr:uid="{00000000-0005-0000-0000-000051590000}"/>
    <cellStyle name="Note 25 13" xfId="22574" xr:uid="{00000000-0005-0000-0000-000052590000}"/>
    <cellStyle name="Note 25 14" xfId="22575" xr:uid="{00000000-0005-0000-0000-000053590000}"/>
    <cellStyle name="Note 25 15" xfId="22576" xr:uid="{00000000-0005-0000-0000-000054590000}"/>
    <cellStyle name="Note 25 16" xfId="22577" xr:uid="{00000000-0005-0000-0000-000055590000}"/>
    <cellStyle name="Note 25 17" xfId="22578" xr:uid="{00000000-0005-0000-0000-000056590000}"/>
    <cellStyle name="Note 25 18" xfId="22579" xr:uid="{00000000-0005-0000-0000-000057590000}"/>
    <cellStyle name="Note 25 2" xfId="22580" xr:uid="{00000000-0005-0000-0000-000058590000}"/>
    <cellStyle name="Note 25 2 2" xfId="22581" xr:uid="{00000000-0005-0000-0000-000059590000}"/>
    <cellStyle name="Note 25 2 3" xfId="22582" xr:uid="{00000000-0005-0000-0000-00005A590000}"/>
    <cellStyle name="Note 25 2 4" xfId="22583" xr:uid="{00000000-0005-0000-0000-00005B590000}"/>
    <cellStyle name="Note 25 2 5" xfId="22584" xr:uid="{00000000-0005-0000-0000-00005C590000}"/>
    <cellStyle name="Note 25 2 6" xfId="22585" xr:uid="{00000000-0005-0000-0000-00005D590000}"/>
    <cellStyle name="Note 25 2 7" xfId="22586" xr:uid="{00000000-0005-0000-0000-00005E590000}"/>
    <cellStyle name="Note 25 3" xfId="22587" xr:uid="{00000000-0005-0000-0000-00005F590000}"/>
    <cellStyle name="Note 25 4" xfId="22588" xr:uid="{00000000-0005-0000-0000-000060590000}"/>
    <cellStyle name="Note 25 5" xfId="22589" xr:uid="{00000000-0005-0000-0000-000061590000}"/>
    <cellStyle name="Note 25 6" xfId="22590" xr:uid="{00000000-0005-0000-0000-000062590000}"/>
    <cellStyle name="Note 25 7" xfId="22591" xr:uid="{00000000-0005-0000-0000-000063590000}"/>
    <cellStyle name="Note 25 8" xfId="22592" xr:uid="{00000000-0005-0000-0000-000064590000}"/>
    <cellStyle name="Note 25 9" xfId="22593" xr:uid="{00000000-0005-0000-0000-000065590000}"/>
    <cellStyle name="Note 26" xfId="22594" xr:uid="{00000000-0005-0000-0000-000066590000}"/>
    <cellStyle name="Note 26 2" xfId="22595" xr:uid="{00000000-0005-0000-0000-000067590000}"/>
    <cellStyle name="Note 26 3" xfId="22596" xr:uid="{00000000-0005-0000-0000-000068590000}"/>
    <cellStyle name="Note 26 4" xfId="22597" xr:uid="{00000000-0005-0000-0000-000069590000}"/>
    <cellStyle name="Note 26 5" xfId="22598" xr:uid="{00000000-0005-0000-0000-00006A590000}"/>
    <cellStyle name="Note 26 6" xfId="22599" xr:uid="{00000000-0005-0000-0000-00006B590000}"/>
    <cellStyle name="Note 26 7" xfId="22600" xr:uid="{00000000-0005-0000-0000-00006C590000}"/>
    <cellStyle name="Note 26 8" xfId="22601" xr:uid="{00000000-0005-0000-0000-00006D590000}"/>
    <cellStyle name="Note 26 9" xfId="22602" xr:uid="{00000000-0005-0000-0000-00006E590000}"/>
    <cellStyle name="Note 27" xfId="22603" xr:uid="{00000000-0005-0000-0000-00006F590000}"/>
    <cellStyle name="Note 27 2" xfId="22604" xr:uid="{00000000-0005-0000-0000-000070590000}"/>
    <cellStyle name="Note 27 3" xfId="22605" xr:uid="{00000000-0005-0000-0000-000071590000}"/>
    <cellStyle name="Note 27 4" xfId="22606" xr:uid="{00000000-0005-0000-0000-000072590000}"/>
    <cellStyle name="Note 27 5" xfId="22607" xr:uid="{00000000-0005-0000-0000-000073590000}"/>
    <cellStyle name="Note 27 6" xfId="22608" xr:uid="{00000000-0005-0000-0000-000074590000}"/>
    <cellStyle name="Note 27 7" xfId="22609" xr:uid="{00000000-0005-0000-0000-000075590000}"/>
    <cellStyle name="Note 27 8" xfId="22610" xr:uid="{00000000-0005-0000-0000-000076590000}"/>
    <cellStyle name="Note 27 9" xfId="22611" xr:uid="{00000000-0005-0000-0000-000077590000}"/>
    <cellStyle name="Note 28" xfId="22612" xr:uid="{00000000-0005-0000-0000-000078590000}"/>
    <cellStyle name="Note 28 2" xfId="22613" xr:uid="{00000000-0005-0000-0000-000079590000}"/>
    <cellStyle name="Note 28 3" xfId="22614" xr:uid="{00000000-0005-0000-0000-00007A590000}"/>
    <cellStyle name="Note 28 4" xfId="22615" xr:uid="{00000000-0005-0000-0000-00007B590000}"/>
    <cellStyle name="Note 28 5" xfId="22616" xr:uid="{00000000-0005-0000-0000-00007C590000}"/>
    <cellStyle name="Note 28 6" xfId="22617" xr:uid="{00000000-0005-0000-0000-00007D590000}"/>
    <cellStyle name="Note 28 7" xfId="22618" xr:uid="{00000000-0005-0000-0000-00007E590000}"/>
    <cellStyle name="Note 28 8" xfId="22619" xr:uid="{00000000-0005-0000-0000-00007F590000}"/>
    <cellStyle name="Note 28 9" xfId="22620" xr:uid="{00000000-0005-0000-0000-000080590000}"/>
    <cellStyle name="Note 29" xfId="22621" xr:uid="{00000000-0005-0000-0000-000081590000}"/>
    <cellStyle name="Note 29 2" xfId="22622" xr:uid="{00000000-0005-0000-0000-000082590000}"/>
    <cellStyle name="Note 29 3" xfId="22623" xr:uid="{00000000-0005-0000-0000-000083590000}"/>
    <cellStyle name="Note 29 4" xfId="22624" xr:uid="{00000000-0005-0000-0000-000084590000}"/>
    <cellStyle name="Note 29 5" xfId="22625" xr:uid="{00000000-0005-0000-0000-000085590000}"/>
    <cellStyle name="Note 29 6" xfId="22626" xr:uid="{00000000-0005-0000-0000-000086590000}"/>
    <cellStyle name="Note 29 7" xfId="22627" xr:uid="{00000000-0005-0000-0000-000087590000}"/>
    <cellStyle name="Note 29 8" xfId="22628" xr:uid="{00000000-0005-0000-0000-000088590000}"/>
    <cellStyle name="Note 29 9" xfId="22629" xr:uid="{00000000-0005-0000-0000-000089590000}"/>
    <cellStyle name="Note 3" xfId="22630" xr:uid="{00000000-0005-0000-0000-00008A590000}"/>
    <cellStyle name="Note 3 10" xfId="22631" xr:uid="{00000000-0005-0000-0000-00008B590000}"/>
    <cellStyle name="Note 3 11" xfId="22632" xr:uid="{00000000-0005-0000-0000-00008C590000}"/>
    <cellStyle name="Note 3 12" xfId="22633" xr:uid="{00000000-0005-0000-0000-00008D590000}"/>
    <cellStyle name="Note 3 13" xfId="22634" xr:uid="{00000000-0005-0000-0000-00008E590000}"/>
    <cellStyle name="Note 3 14" xfId="22635" xr:uid="{00000000-0005-0000-0000-00008F590000}"/>
    <cellStyle name="Note 3 15" xfId="22636" xr:uid="{00000000-0005-0000-0000-000090590000}"/>
    <cellStyle name="Note 3 16" xfId="22637" xr:uid="{00000000-0005-0000-0000-000091590000}"/>
    <cellStyle name="Note 3 17" xfId="22638" xr:uid="{00000000-0005-0000-0000-000092590000}"/>
    <cellStyle name="Note 3 18" xfId="22639" xr:uid="{00000000-0005-0000-0000-000093590000}"/>
    <cellStyle name="Note 3 19" xfId="22640" xr:uid="{00000000-0005-0000-0000-000094590000}"/>
    <cellStyle name="Note 3 2" xfId="22641" xr:uid="{00000000-0005-0000-0000-000095590000}"/>
    <cellStyle name="Note 3 2 2" xfId="22642" xr:uid="{00000000-0005-0000-0000-000096590000}"/>
    <cellStyle name="Note 3 2 2 2" xfId="22643" xr:uid="{00000000-0005-0000-0000-000097590000}"/>
    <cellStyle name="Note 3 2 2 3" xfId="22644" xr:uid="{00000000-0005-0000-0000-000098590000}"/>
    <cellStyle name="Note 3 2 2 4" xfId="22645" xr:uid="{00000000-0005-0000-0000-000099590000}"/>
    <cellStyle name="Note 3 2 2 5" xfId="22646" xr:uid="{00000000-0005-0000-0000-00009A590000}"/>
    <cellStyle name="Note 3 2 2 6" xfId="22647" xr:uid="{00000000-0005-0000-0000-00009B590000}"/>
    <cellStyle name="Note 3 2 2 7" xfId="22648" xr:uid="{00000000-0005-0000-0000-00009C590000}"/>
    <cellStyle name="Note 3 2 3" xfId="22649" xr:uid="{00000000-0005-0000-0000-00009D590000}"/>
    <cellStyle name="Note 3 2 4" xfId="22650" xr:uid="{00000000-0005-0000-0000-00009E590000}"/>
    <cellStyle name="Note 3 2 5" xfId="22651" xr:uid="{00000000-0005-0000-0000-00009F590000}"/>
    <cellStyle name="Note 3 2 6" xfId="22652" xr:uid="{00000000-0005-0000-0000-0000A0590000}"/>
    <cellStyle name="Note 3 2 7" xfId="22653" xr:uid="{00000000-0005-0000-0000-0000A1590000}"/>
    <cellStyle name="Note 3 20" xfId="22654" xr:uid="{00000000-0005-0000-0000-0000A2590000}"/>
    <cellStyle name="Note 3 21" xfId="22655" xr:uid="{00000000-0005-0000-0000-0000A3590000}"/>
    <cellStyle name="Note 3 22" xfId="22656" xr:uid="{00000000-0005-0000-0000-0000A4590000}"/>
    <cellStyle name="Note 3 23" xfId="22657" xr:uid="{00000000-0005-0000-0000-0000A5590000}"/>
    <cellStyle name="Note 3 24" xfId="22658" xr:uid="{00000000-0005-0000-0000-0000A6590000}"/>
    <cellStyle name="Note 3 25" xfId="22659" xr:uid="{00000000-0005-0000-0000-0000A7590000}"/>
    <cellStyle name="Note 3 26" xfId="22660" xr:uid="{00000000-0005-0000-0000-0000A8590000}"/>
    <cellStyle name="Note 3 27" xfId="22661" xr:uid="{00000000-0005-0000-0000-0000A9590000}"/>
    <cellStyle name="Note 3 28" xfId="22662" xr:uid="{00000000-0005-0000-0000-0000AA590000}"/>
    <cellStyle name="Note 3 29" xfId="22663" xr:uid="{00000000-0005-0000-0000-0000AB590000}"/>
    <cellStyle name="Note 3 3" xfId="22664" xr:uid="{00000000-0005-0000-0000-0000AC590000}"/>
    <cellStyle name="Note 3 3 2" xfId="22665" xr:uid="{00000000-0005-0000-0000-0000AD590000}"/>
    <cellStyle name="Note 3 3 2 2" xfId="22666" xr:uid="{00000000-0005-0000-0000-0000AE590000}"/>
    <cellStyle name="Note 3 3 2 3" xfId="22667" xr:uid="{00000000-0005-0000-0000-0000AF590000}"/>
    <cellStyle name="Note 3 3 2 4" xfId="22668" xr:uid="{00000000-0005-0000-0000-0000B0590000}"/>
    <cellStyle name="Note 3 3 2 5" xfId="22669" xr:uid="{00000000-0005-0000-0000-0000B1590000}"/>
    <cellStyle name="Note 3 3 2 6" xfId="22670" xr:uid="{00000000-0005-0000-0000-0000B2590000}"/>
    <cellStyle name="Note 3 3 2 7" xfId="22671" xr:uid="{00000000-0005-0000-0000-0000B3590000}"/>
    <cellStyle name="Note 3 3 3" xfId="22672" xr:uid="{00000000-0005-0000-0000-0000B4590000}"/>
    <cellStyle name="Note 3 3 4" xfId="22673" xr:uid="{00000000-0005-0000-0000-0000B5590000}"/>
    <cellStyle name="Note 3 3 5" xfId="22674" xr:uid="{00000000-0005-0000-0000-0000B6590000}"/>
    <cellStyle name="Note 3 3 6" xfId="22675" xr:uid="{00000000-0005-0000-0000-0000B7590000}"/>
    <cellStyle name="Note 3 3 7" xfId="22676" xr:uid="{00000000-0005-0000-0000-0000B8590000}"/>
    <cellStyle name="Note 3 30" xfId="22677" xr:uid="{00000000-0005-0000-0000-0000B9590000}"/>
    <cellStyle name="Note 3 31" xfId="22678" xr:uid="{00000000-0005-0000-0000-0000BA590000}"/>
    <cellStyle name="Note 3 32" xfId="22679" xr:uid="{00000000-0005-0000-0000-0000BB590000}"/>
    <cellStyle name="Note 3 33" xfId="22680" xr:uid="{00000000-0005-0000-0000-0000BC590000}"/>
    <cellStyle name="Note 3 34" xfId="22681" xr:uid="{00000000-0005-0000-0000-0000BD590000}"/>
    <cellStyle name="Note 3 35" xfId="22682" xr:uid="{00000000-0005-0000-0000-0000BE590000}"/>
    <cellStyle name="Note 3 36" xfId="22683" xr:uid="{00000000-0005-0000-0000-0000BF590000}"/>
    <cellStyle name="Note 3 37" xfId="22684" xr:uid="{00000000-0005-0000-0000-0000C0590000}"/>
    <cellStyle name="Note 3 38" xfId="22685" xr:uid="{00000000-0005-0000-0000-0000C1590000}"/>
    <cellStyle name="Note 3 39" xfId="22686" xr:uid="{00000000-0005-0000-0000-0000C2590000}"/>
    <cellStyle name="Note 3 4" xfId="22687" xr:uid="{00000000-0005-0000-0000-0000C3590000}"/>
    <cellStyle name="Note 3 4 2" xfId="22688" xr:uid="{00000000-0005-0000-0000-0000C4590000}"/>
    <cellStyle name="Note 3 4 2 2" xfId="22689" xr:uid="{00000000-0005-0000-0000-0000C5590000}"/>
    <cellStyle name="Note 3 4 2 3" xfId="22690" xr:uid="{00000000-0005-0000-0000-0000C6590000}"/>
    <cellStyle name="Note 3 4 2 4" xfId="22691" xr:uid="{00000000-0005-0000-0000-0000C7590000}"/>
    <cellStyle name="Note 3 4 2 5" xfId="22692" xr:uid="{00000000-0005-0000-0000-0000C8590000}"/>
    <cellStyle name="Note 3 4 2 6" xfId="22693" xr:uid="{00000000-0005-0000-0000-0000C9590000}"/>
    <cellStyle name="Note 3 4 2 7" xfId="22694" xr:uid="{00000000-0005-0000-0000-0000CA590000}"/>
    <cellStyle name="Note 3 4 3" xfId="22695" xr:uid="{00000000-0005-0000-0000-0000CB590000}"/>
    <cellStyle name="Note 3 4 4" xfId="22696" xr:uid="{00000000-0005-0000-0000-0000CC590000}"/>
    <cellStyle name="Note 3 4 5" xfId="22697" xr:uid="{00000000-0005-0000-0000-0000CD590000}"/>
    <cellStyle name="Note 3 4 6" xfId="22698" xr:uid="{00000000-0005-0000-0000-0000CE590000}"/>
    <cellStyle name="Note 3 4 7" xfId="22699" xr:uid="{00000000-0005-0000-0000-0000CF590000}"/>
    <cellStyle name="Note 3 40" xfId="22700" xr:uid="{00000000-0005-0000-0000-0000D0590000}"/>
    <cellStyle name="Note 3 41" xfId="22701" xr:uid="{00000000-0005-0000-0000-0000D1590000}"/>
    <cellStyle name="Note 3 42" xfId="22702" xr:uid="{00000000-0005-0000-0000-0000D2590000}"/>
    <cellStyle name="Note 3 43" xfId="22703" xr:uid="{00000000-0005-0000-0000-0000D3590000}"/>
    <cellStyle name="Note 3 44" xfId="22704" xr:uid="{00000000-0005-0000-0000-0000D4590000}"/>
    <cellStyle name="Note 3 45" xfId="22705" xr:uid="{00000000-0005-0000-0000-0000D5590000}"/>
    <cellStyle name="Note 3 46" xfId="22706" xr:uid="{00000000-0005-0000-0000-0000D6590000}"/>
    <cellStyle name="Note 3 47" xfId="22707" xr:uid="{00000000-0005-0000-0000-0000D7590000}"/>
    <cellStyle name="Note 3 48" xfId="22708" xr:uid="{00000000-0005-0000-0000-0000D8590000}"/>
    <cellStyle name="Note 3 5" xfId="22709" xr:uid="{00000000-0005-0000-0000-0000D9590000}"/>
    <cellStyle name="Note 3 5 2" xfId="22710" xr:uid="{00000000-0005-0000-0000-0000DA590000}"/>
    <cellStyle name="Note 3 5 2 2" xfId="22711" xr:uid="{00000000-0005-0000-0000-0000DB590000}"/>
    <cellStyle name="Note 3 5 2 3" xfId="22712" xr:uid="{00000000-0005-0000-0000-0000DC590000}"/>
    <cellStyle name="Note 3 5 2 4" xfId="22713" xr:uid="{00000000-0005-0000-0000-0000DD590000}"/>
    <cellStyle name="Note 3 5 2 5" xfId="22714" xr:uid="{00000000-0005-0000-0000-0000DE590000}"/>
    <cellStyle name="Note 3 5 2 6" xfId="22715" xr:uid="{00000000-0005-0000-0000-0000DF590000}"/>
    <cellStyle name="Note 3 5 2 7" xfId="22716" xr:uid="{00000000-0005-0000-0000-0000E0590000}"/>
    <cellStyle name="Note 3 5 3" xfId="22717" xr:uid="{00000000-0005-0000-0000-0000E1590000}"/>
    <cellStyle name="Note 3 5 4" xfId="22718" xr:uid="{00000000-0005-0000-0000-0000E2590000}"/>
    <cellStyle name="Note 3 5 5" xfId="22719" xr:uid="{00000000-0005-0000-0000-0000E3590000}"/>
    <cellStyle name="Note 3 5 6" xfId="22720" xr:uid="{00000000-0005-0000-0000-0000E4590000}"/>
    <cellStyle name="Note 3 5 7" xfId="22721" xr:uid="{00000000-0005-0000-0000-0000E5590000}"/>
    <cellStyle name="Note 3 6" xfId="22722" xr:uid="{00000000-0005-0000-0000-0000E6590000}"/>
    <cellStyle name="Note 3 6 2" xfId="22723" xr:uid="{00000000-0005-0000-0000-0000E7590000}"/>
    <cellStyle name="Note 3 6 2 2" xfId="22724" xr:uid="{00000000-0005-0000-0000-0000E8590000}"/>
    <cellStyle name="Note 3 6 2 3" xfId="22725" xr:uid="{00000000-0005-0000-0000-0000E9590000}"/>
    <cellStyle name="Note 3 6 2 4" xfId="22726" xr:uid="{00000000-0005-0000-0000-0000EA590000}"/>
    <cellStyle name="Note 3 6 2 5" xfId="22727" xr:uid="{00000000-0005-0000-0000-0000EB590000}"/>
    <cellStyle name="Note 3 6 2 6" xfId="22728" xr:uid="{00000000-0005-0000-0000-0000EC590000}"/>
    <cellStyle name="Note 3 6 2 7" xfId="22729" xr:uid="{00000000-0005-0000-0000-0000ED590000}"/>
    <cellStyle name="Note 3 6 3" xfId="22730" xr:uid="{00000000-0005-0000-0000-0000EE590000}"/>
    <cellStyle name="Note 3 6 4" xfId="22731" xr:uid="{00000000-0005-0000-0000-0000EF590000}"/>
    <cellStyle name="Note 3 6 5" xfId="22732" xr:uid="{00000000-0005-0000-0000-0000F0590000}"/>
    <cellStyle name="Note 3 6 6" xfId="22733" xr:uid="{00000000-0005-0000-0000-0000F1590000}"/>
    <cellStyle name="Note 3 6 7" xfId="22734" xr:uid="{00000000-0005-0000-0000-0000F2590000}"/>
    <cellStyle name="Note 3 7" xfId="22735" xr:uid="{00000000-0005-0000-0000-0000F3590000}"/>
    <cellStyle name="Note 3 7 2" xfId="22736" xr:uid="{00000000-0005-0000-0000-0000F4590000}"/>
    <cellStyle name="Note 3 7 2 2" xfId="22737" xr:uid="{00000000-0005-0000-0000-0000F5590000}"/>
    <cellStyle name="Note 3 7 2 3" xfId="22738" xr:uid="{00000000-0005-0000-0000-0000F6590000}"/>
    <cellStyle name="Note 3 7 2 4" xfId="22739" xr:uid="{00000000-0005-0000-0000-0000F7590000}"/>
    <cellStyle name="Note 3 7 2 5" xfId="22740" xr:uid="{00000000-0005-0000-0000-0000F8590000}"/>
    <cellStyle name="Note 3 7 2 6" xfId="22741" xr:uid="{00000000-0005-0000-0000-0000F9590000}"/>
    <cellStyle name="Note 3 7 2 7" xfId="22742" xr:uid="{00000000-0005-0000-0000-0000FA590000}"/>
    <cellStyle name="Note 3 7 3" xfId="22743" xr:uid="{00000000-0005-0000-0000-0000FB590000}"/>
    <cellStyle name="Note 3 7 4" xfId="22744" xr:uid="{00000000-0005-0000-0000-0000FC590000}"/>
    <cellStyle name="Note 3 7 5" xfId="22745" xr:uid="{00000000-0005-0000-0000-0000FD590000}"/>
    <cellStyle name="Note 3 7 6" xfId="22746" xr:uid="{00000000-0005-0000-0000-0000FE590000}"/>
    <cellStyle name="Note 3 7 7" xfId="22747" xr:uid="{00000000-0005-0000-0000-0000FF590000}"/>
    <cellStyle name="Note 3 8" xfId="22748" xr:uid="{00000000-0005-0000-0000-0000005A0000}"/>
    <cellStyle name="Note 3 8 2" xfId="22749" xr:uid="{00000000-0005-0000-0000-0000015A0000}"/>
    <cellStyle name="Note 3 8 2 2" xfId="22750" xr:uid="{00000000-0005-0000-0000-0000025A0000}"/>
    <cellStyle name="Note 3 8 2 3" xfId="22751" xr:uid="{00000000-0005-0000-0000-0000035A0000}"/>
    <cellStyle name="Note 3 8 2 4" xfId="22752" xr:uid="{00000000-0005-0000-0000-0000045A0000}"/>
    <cellStyle name="Note 3 8 2 5" xfId="22753" xr:uid="{00000000-0005-0000-0000-0000055A0000}"/>
    <cellStyle name="Note 3 8 2 6" xfId="22754" xr:uid="{00000000-0005-0000-0000-0000065A0000}"/>
    <cellStyle name="Note 3 8 2 7" xfId="22755" xr:uid="{00000000-0005-0000-0000-0000075A0000}"/>
    <cellStyle name="Note 3 8 3" xfId="22756" xr:uid="{00000000-0005-0000-0000-0000085A0000}"/>
    <cellStyle name="Note 3 8 4" xfId="22757" xr:uid="{00000000-0005-0000-0000-0000095A0000}"/>
    <cellStyle name="Note 3 8 5" xfId="22758" xr:uid="{00000000-0005-0000-0000-00000A5A0000}"/>
    <cellStyle name="Note 3 8 6" xfId="22759" xr:uid="{00000000-0005-0000-0000-00000B5A0000}"/>
    <cellStyle name="Note 3 8 7" xfId="22760" xr:uid="{00000000-0005-0000-0000-00000C5A0000}"/>
    <cellStyle name="Note 3 9" xfId="22761" xr:uid="{00000000-0005-0000-0000-00000D5A0000}"/>
    <cellStyle name="Note 3 9 2" xfId="22762" xr:uid="{00000000-0005-0000-0000-00000E5A0000}"/>
    <cellStyle name="Note 30" xfId="22763" xr:uid="{00000000-0005-0000-0000-00000F5A0000}"/>
    <cellStyle name="Note 30 2" xfId="22764" xr:uid="{00000000-0005-0000-0000-0000105A0000}"/>
    <cellStyle name="Note 30 3" xfId="22765" xr:uid="{00000000-0005-0000-0000-0000115A0000}"/>
    <cellStyle name="Note 30 4" xfId="22766" xr:uid="{00000000-0005-0000-0000-0000125A0000}"/>
    <cellStyle name="Note 30 5" xfId="22767" xr:uid="{00000000-0005-0000-0000-0000135A0000}"/>
    <cellStyle name="Note 30 6" xfId="22768" xr:uid="{00000000-0005-0000-0000-0000145A0000}"/>
    <cellStyle name="Note 30 7" xfId="22769" xr:uid="{00000000-0005-0000-0000-0000155A0000}"/>
    <cellStyle name="Note 30 8" xfId="22770" xr:uid="{00000000-0005-0000-0000-0000165A0000}"/>
    <cellStyle name="Note 30 9" xfId="22771" xr:uid="{00000000-0005-0000-0000-0000175A0000}"/>
    <cellStyle name="Note 31" xfId="22772" xr:uid="{00000000-0005-0000-0000-0000185A0000}"/>
    <cellStyle name="Note 31 2" xfId="22773" xr:uid="{00000000-0005-0000-0000-0000195A0000}"/>
    <cellStyle name="Note 31 3" xfId="22774" xr:uid="{00000000-0005-0000-0000-00001A5A0000}"/>
    <cellStyle name="Note 31 4" xfId="22775" xr:uid="{00000000-0005-0000-0000-00001B5A0000}"/>
    <cellStyle name="Note 31 5" xfId="22776" xr:uid="{00000000-0005-0000-0000-00001C5A0000}"/>
    <cellStyle name="Note 31 6" xfId="22777" xr:uid="{00000000-0005-0000-0000-00001D5A0000}"/>
    <cellStyle name="Note 31 7" xfId="22778" xr:uid="{00000000-0005-0000-0000-00001E5A0000}"/>
    <cellStyle name="Note 31 8" xfId="22779" xr:uid="{00000000-0005-0000-0000-00001F5A0000}"/>
    <cellStyle name="Note 31 9" xfId="22780" xr:uid="{00000000-0005-0000-0000-0000205A0000}"/>
    <cellStyle name="Note 32" xfId="22781" xr:uid="{00000000-0005-0000-0000-0000215A0000}"/>
    <cellStyle name="Note 32 2" xfId="22782" xr:uid="{00000000-0005-0000-0000-0000225A0000}"/>
    <cellStyle name="Note 32 3" xfId="22783" xr:uid="{00000000-0005-0000-0000-0000235A0000}"/>
    <cellStyle name="Note 32 4" xfId="22784" xr:uid="{00000000-0005-0000-0000-0000245A0000}"/>
    <cellStyle name="Note 32 5" xfId="22785" xr:uid="{00000000-0005-0000-0000-0000255A0000}"/>
    <cellStyle name="Note 32 6" xfId="22786" xr:uid="{00000000-0005-0000-0000-0000265A0000}"/>
    <cellStyle name="Note 32 7" xfId="22787" xr:uid="{00000000-0005-0000-0000-0000275A0000}"/>
    <cellStyle name="Note 32 8" xfId="22788" xr:uid="{00000000-0005-0000-0000-0000285A0000}"/>
    <cellStyle name="Note 32 9" xfId="22789" xr:uid="{00000000-0005-0000-0000-0000295A0000}"/>
    <cellStyle name="Note 33" xfId="22790" xr:uid="{00000000-0005-0000-0000-00002A5A0000}"/>
    <cellStyle name="Note 33 2" xfId="22791" xr:uid="{00000000-0005-0000-0000-00002B5A0000}"/>
    <cellStyle name="Note 33 3" xfId="22792" xr:uid="{00000000-0005-0000-0000-00002C5A0000}"/>
    <cellStyle name="Note 33 4" xfId="22793" xr:uid="{00000000-0005-0000-0000-00002D5A0000}"/>
    <cellStyle name="Note 33 5" xfId="22794" xr:uid="{00000000-0005-0000-0000-00002E5A0000}"/>
    <cellStyle name="Note 33 6" xfId="22795" xr:uid="{00000000-0005-0000-0000-00002F5A0000}"/>
    <cellStyle name="Note 33 7" xfId="22796" xr:uid="{00000000-0005-0000-0000-0000305A0000}"/>
    <cellStyle name="Note 33 8" xfId="22797" xr:uid="{00000000-0005-0000-0000-0000315A0000}"/>
    <cellStyle name="Note 33 9" xfId="22798" xr:uid="{00000000-0005-0000-0000-0000325A0000}"/>
    <cellStyle name="Note 34" xfId="22799" xr:uid="{00000000-0005-0000-0000-0000335A0000}"/>
    <cellStyle name="Note 34 2" xfId="22800" xr:uid="{00000000-0005-0000-0000-0000345A0000}"/>
    <cellStyle name="Note 34 3" xfId="22801" xr:uid="{00000000-0005-0000-0000-0000355A0000}"/>
    <cellStyle name="Note 34 4" xfId="22802" xr:uid="{00000000-0005-0000-0000-0000365A0000}"/>
    <cellStyle name="Note 34 5" xfId="22803" xr:uid="{00000000-0005-0000-0000-0000375A0000}"/>
    <cellStyle name="Note 34 6" xfId="22804" xr:uid="{00000000-0005-0000-0000-0000385A0000}"/>
    <cellStyle name="Note 34 7" xfId="22805" xr:uid="{00000000-0005-0000-0000-0000395A0000}"/>
    <cellStyle name="Note 34 8" xfId="22806" xr:uid="{00000000-0005-0000-0000-00003A5A0000}"/>
    <cellStyle name="Note 34 9" xfId="22807" xr:uid="{00000000-0005-0000-0000-00003B5A0000}"/>
    <cellStyle name="Note 35" xfId="22808" xr:uid="{00000000-0005-0000-0000-00003C5A0000}"/>
    <cellStyle name="Note 35 2" xfId="22809" xr:uid="{00000000-0005-0000-0000-00003D5A0000}"/>
    <cellStyle name="Note 35 3" xfId="22810" xr:uid="{00000000-0005-0000-0000-00003E5A0000}"/>
    <cellStyle name="Note 35 4" xfId="22811" xr:uid="{00000000-0005-0000-0000-00003F5A0000}"/>
    <cellStyle name="Note 35 5" xfId="22812" xr:uid="{00000000-0005-0000-0000-0000405A0000}"/>
    <cellStyle name="Note 35 6" xfId="22813" xr:uid="{00000000-0005-0000-0000-0000415A0000}"/>
    <cellStyle name="Note 35 7" xfId="22814" xr:uid="{00000000-0005-0000-0000-0000425A0000}"/>
    <cellStyle name="Note 35 8" xfId="22815" xr:uid="{00000000-0005-0000-0000-0000435A0000}"/>
    <cellStyle name="Note 35 9" xfId="22816" xr:uid="{00000000-0005-0000-0000-0000445A0000}"/>
    <cellStyle name="Note 36" xfId="22817" xr:uid="{00000000-0005-0000-0000-0000455A0000}"/>
    <cellStyle name="Note 36 2" xfId="22818" xr:uid="{00000000-0005-0000-0000-0000465A0000}"/>
    <cellStyle name="Note 36 3" xfId="22819" xr:uid="{00000000-0005-0000-0000-0000475A0000}"/>
    <cellStyle name="Note 36 4" xfId="22820" xr:uid="{00000000-0005-0000-0000-0000485A0000}"/>
    <cellStyle name="Note 36 5" xfId="22821" xr:uid="{00000000-0005-0000-0000-0000495A0000}"/>
    <cellStyle name="Note 36 6" xfId="22822" xr:uid="{00000000-0005-0000-0000-00004A5A0000}"/>
    <cellStyle name="Note 36 7" xfId="22823" xr:uid="{00000000-0005-0000-0000-00004B5A0000}"/>
    <cellStyle name="Note 36 8" xfId="22824" xr:uid="{00000000-0005-0000-0000-00004C5A0000}"/>
    <cellStyle name="Note 36 9" xfId="22825" xr:uid="{00000000-0005-0000-0000-00004D5A0000}"/>
    <cellStyle name="Note 37" xfId="22826" xr:uid="{00000000-0005-0000-0000-00004E5A0000}"/>
    <cellStyle name="Note 37 2" xfId="22827" xr:uid="{00000000-0005-0000-0000-00004F5A0000}"/>
    <cellStyle name="Note 37 3" xfId="22828" xr:uid="{00000000-0005-0000-0000-0000505A0000}"/>
    <cellStyle name="Note 37 4" xfId="22829" xr:uid="{00000000-0005-0000-0000-0000515A0000}"/>
    <cellStyle name="Note 37 5" xfId="22830" xr:uid="{00000000-0005-0000-0000-0000525A0000}"/>
    <cellStyle name="Note 37 6" xfId="22831" xr:uid="{00000000-0005-0000-0000-0000535A0000}"/>
    <cellStyle name="Note 37 7" xfId="22832" xr:uid="{00000000-0005-0000-0000-0000545A0000}"/>
    <cellStyle name="Note 37 8" xfId="22833" xr:uid="{00000000-0005-0000-0000-0000555A0000}"/>
    <cellStyle name="Note 37 9" xfId="22834" xr:uid="{00000000-0005-0000-0000-0000565A0000}"/>
    <cellStyle name="Note 38" xfId="22835" xr:uid="{00000000-0005-0000-0000-0000575A0000}"/>
    <cellStyle name="Note 38 2" xfId="22836" xr:uid="{00000000-0005-0000-0000-0000585A0000}"/>
    <cellStyle name="Note 38 3" xfId="22837" xr:uid="{00000000-0005-0000-0000-0000595A0000}"/>
    <cellStyle name="Note 38 4" xfId="22838" xr:uid="{00000000-0005-0000-0000-00005A5A0000}"/>
    <cellStyle name="Note 38 5" xfId="22839" xr:uid="{00000000-0005-0000-0000-00005B5A0000}"/>
    <cellStyle name="Note 38 6" xfId="22840" xr:uid="{00000000-0005-0000-0000-00005C5A0000}"/>
    <cellStyle name="Note 38 7" xfId="22841" xr:uid="{00000000-0005-0000-0000-00005D5A0000}"/>
    <cellStyle name="Note 38 8" xfId="22842" xr:uid="{00000000-0005-0000-0000-00005E5A0000}"/>
    <cellStyle name="Note 38 9" xfId="22843" xr:uid="{00000000-0005-0000-0000-00005F5A0000}"/>
    <cellStyle name="Note 39" xfId="22844" xr:uid="{00000000-0005-0000-0000-0000605A0000}"/>
    <cellStyle name="Note 39 2" xfId="22845" xr:uid="{00000000-0005-0000-0000-0000615A0000}"/>
    <cellStyle name="Note 39 3" xfId="22846" xr:uid="{00000000-0005-0000-0000-0000625A0000}"/>
    <cellStyle name="Note 39 4" xfId="22847" xr:uid="{00000000-0005-0000-0000-0000635A0000}"/>
    <cellStyle name="Note 39 5" xfId="22848" xr:uid="{00000000-0005-0000-0000-0000645A0000}"/>
    <cellStyle name="Note 39 6" xfId="22849" xr:uid="{00000000-0005-0000-0000-0000655A0000}"/>
    <cellStyle name="Note 39 7" xfId="22850" xr:uid="{00000000-0005-0000-0000-0000665A0000}"/>
    <cellStyle name="Note 39 8" xfId="22851" xr:uid="{00000000-0005-0000-0000-0000675A0000}"/>
    <cellStyle name="Note 39 9" xfId="22852" xr:uid="{00000000-0005-0000-0000-0000685A0000}"/>
    <cellStyle name="Note 4" xfId="22853" xr:uid="{00000000-0005-0000-0000-0000695A0000}"/>
    <cellStyle name="Note 4 10" xfId="22854" xr:uid="{00000000-0005-0000-0000-00006A5A0000}"/>
    <cellStyle name="Note 4 11" xfId="22855" xr:uid="{00000000-0005-0000-0000-00006B5A0000}"/>
    <cellStyle name="Note 4 12" xfId="22856" xr:uid="{00000000-0005-0000-0000-00006C5A0000}"/>
    <cellStyle name="Note 4 13" xfId="22857" xr:uid="{00000000-0005-0000-0000-00006D5A0000}"/>
    <cellStyle name="Note 4 14" xfId="22858" xr:uid="{00000000-0005-0000-0000-00006E5A0000}"/>
    <cellStyle name="Note 4 15" xfId="22859" xr:uid="{00000000-0005-0000-0000-00006F5A0000}"/>
    <cellStyle name="Note 4 16" xfId="22860" xr:uid="{00000000-0005-0000-0000-0000705A0000}"/>
    <cellStyle name="Note 4 17" xfId="22861" xr:uid="{00000000-0005-0000-0000-0000715A0000}"/>
    <cellStyle name="Note 4 18" xfId="22862" xr:uid="{00000000-0005-0000-0000-0000725A0000}"/>
    <cellStyle name="Note 4 19" xfId="22863" xr:uid="{00000000-0005-0000-0000-0000735A0000}"/>
    <cellStyle name="Note 4 2" xfId="22864" xr:uid="{00000000-0005-0000-0000-0000745A0000}"/>
    <cellStyle name="Note 4 2 2" xfId="22865" xr:uid="{00000000-0005-0000-0000-0000755A0000}"/>
    <cellStyle name="Note 4 2 2 2" xfId="22866" xr:uid="{00000000-0005-0000-0000-0000765A0000}"/>
    <cellStyle name="Note 4 2 2 3" xfId="22867" xr:uid="{00000000-0005-0000-0000-0000775A0000}"/>
    <cellStyle name="Note 4 2 2 4" xfId="22868" xr:uid="{00000000-0005-0000-0000-0000785A0000}"/>
    <cellStyle name="Note 4 2 2 5" xfId="22869" xr:uid="{00000000-0005-0000-0000-0000795A0000}"/>
    <cellStyle name="Note 4 2 2 6" xfId="22870" xr:uid="{00000000-0005-0000-0000-00007A5A0000}"/>
    <cellStyle name="Note 4 2 2 7" xfId="22871" xr:uid="{00000000-0005-0000-0000-00007B5A0000}"/>
    <cellStyle name="Note 4 2 3" xfId="22872" xr:uid="{00000000-0005-0000-0000-00007C5A0000}"/>
    <cellStyle name="Note 4 2 4" xfId="22873" xr:uid="{00000000-0005-0000-0000-00007D5A0000}"/>
    <cellStyle name="Note 4 2 5" xfId="22874" xr:uid="{00000000-0005-0000-0000-00007E5A0000}"/>
    <cellStyle name="Note 4 2 6" xfId="22875" xr:uid="{00000000-0005-0000-0000-00007F5A0000}"/>
    <cellStyle name="Note 4 2 7" xfId="22876" xr:uid="{00000000-0005-0000-0000-0000805A0000}"/>
    <cellStyle name="Note 4 20" xfId="22877" xr:uid="{00000000-0005-0000-0000-0000815A0000}"/>
    <cellStyle name="Note 4 21" xfId="22878" xr:uid="{00000000-0005-0000-0000-0000825A0000}"/>
    <cellStyle name="Note 4 22" xfId="22879" xr:uid="{00000000-0005-0000-0000-0000835A0000}"/>
    <cellStyle name="Note 4 23" xfId="22880" xr:uid="{00000000-0005-0000-0000-0000845A0000}"/>
    <cellStyle name="Note 4 24" xfId="22881" xr:uid="{00000000-0005-0000-0000-0000855A0000}"/>
    <cellStyle name="Note 4 25" xfId="22882" xr:uid="{00000000-0005-0000-0000-0000865A0000}"/>
    <cellStyle name="Note 4 26" xfId="22883" xr:uid="{00000000-0005-0000-0000-0000875A0000}"/>
    <cellStyle name="Note 4 27" xfId="22884" xr:uid="{00000000-0005-0000-0000-0000885A0000}"/>
    <cellStyle name="Note 4 28" xfId="22885" xr:uid="{00000000-0005-0000-0000-0000895A0000}"/>
    <cellStyle name="Note 4 29" xfId="22886" xr:uid="{00000000-0005-0000-0000-00008A5A0000}"/>
    <cellStyle name="Note 4 3" xfId="22887" xr:uid="{00000000-0005-0000-0000-00008B5A0000}"/>
    <cellStyle name="Note 4 3 2" xfId="22888" xr:uid="{00000000-0005-0000-0000-00008C5A0000}"/>
    <cellStyle name="Note 4 3 2 2" xfId="22889" xr:uid="{00000000-0005-0000-0000-00008D5A0000}"/>
    <cellStyle name="Note 4 3 2 3" xfId="22890" xr:uid="{00000000-0005-0000-0000-00008E5A0000}"/>
    <cellStyle name="Note 4 3 2 4" xfId="22891" xr:uid="{00000000-0005-0000-0000-00008F5A0000}"/>
    <cellStyle name="Note 4 3 2 5" xfId="22892" xr:uid="{00000000-0005-0000-0000-0000905A0000}"/>
    <cellStyle name="Note 4 3 2 6" xfId="22893" xr:uid="{00000000-0005-0000-0000-0000915A0000}"/>
    <cellStyle name="Note 4 3 2 7" xfId="22894" xr:uid="{00000000-0005-0000-0000-0000925A0000}"/>
    <cellStyle name="Note 4 3 3" xfId="22895" xr:uid="{00000000-0005-0000-0000-0000935A0000}"/>
    <cellStyle name="Note 4 3 4" xfId="22896" xr:uid="{00000000-0005-0000-0000-0000945A0000}"/>
    <cellStyle name="Note 4 3 5" xfId="22897" xr:uid="{00000000-0005-0000-0000-0000955A0000}"/>
    <cellStyle name="Note 4 3 6" xfId="22898" xr:uid="{00000000-0005-0000-0000-0000965A0000}"/>
    <cellStyle name="Note 4 3 7" xfId="22899" xr:uid="{00000000-0005-0000-0000-0000975A0000}"/>
    <cellStyle name="Note 4 30" xfId="22900" xr:uid="{00000000-0005-0000-0000-0000985A0000}"/>
    <cellStyle name="Note 4 31" xfId="22901" xr:uid="{00000000-0005-0000-0000-0000995A0000}"/>
    <cellStyle name="Note 4 32" xfId="22902" xr:uid="{00000000-0005-0000-0000-00009A5A0000}"/>
    <cellStyle name="Note 4 33" xfId="22903" xr:uid="{00000000-0005-0000-0000-00009B5A0000}"/>
    <cellStyle name="Note 4 34" xfId="22904" xr:uid="{00000000-0005-0000-0000-00009C5A0000}"/>
    <cellStyle name="Note 4 35" xfId="22905" xr:uid="{00000000-0005-0000-0000-00009D5A0000}"/>
    <cellStyle name="Note 4 36" xfId="22906" xr:uid="{00000000-0005-0000-0000-00009E5A0000}"/>
    <cellStyle name="Note 4 37" xfId="22907" xr:uid="{00000000-0005-0000-0000-00009F5A0000}"/>
    <cellStyle name="Note 4 38" xfId="22908" xr:uid="{00000000-0005-0000-0000-0000A05A0000}"/>
    <cellStyle name="Note 4 39" xfId="22909" xr:uid="{00000000-0005-0000-0000-0000A15A0000}"/>
    <cellStyle name="Note 4 4" xfId="22910" xr:uid="{00000000-0005-0000-0000-0000A25A0000}"/>
    <cellStyle name="Note 4 4 2" xfId="22911" xr:uid="{00000000-0005-0000-0000-0000A35A0000}"/>
    <cellStyle name="Note 4 4 2 2" xfId="22912" xr:uid="{00000000-0005-0000-0000-0000A45A0000}"/>
    <cellStyle name="Note 4 4 2 3" xfId="22913" xr:uid="{00000000-0005-0000-0000-0000A55A0000}"/>
    <cellStyle name="Note 4 4 2 4" xfId="22914" xr:uid="{00000000-0005-0000-0000-0000A65A0000}"/>
    <cellStyle name="Note 4 4 2 5" xfId="22915" xr:uid="{00000000-0005-0000-0000-0000A75A0000}"/>
    <cellStyle name="Note 4 4 2 6" xfId="22916" xr:uid="{00000000-0005-0000-0000-0000A85A0000}"/>
    <cellStyle name="Note 4 4 2 7" xfId="22917" xr:uid="{00000000-0005-0000-0000-0000A95A0000}"/>
    <cellStyle name="Note 4 4 3" xfId="22918" xr:uid="{00000000-0005-0000-0000-0000AA5A0000}"/>
    <cellStyle name="Note 4 4 4" xfId="22919" xr:uid="{00000000-0005-0000-0000-0000AB5A0000}"/>
    <cellStyle name="Note 4 4 5" xfId="22920" xr:uid="{00000000-0005-0000-0000-0000AC5A0000}"/>
    <cellStyle name="Note 4 4 6" xfId="22921" xr:uid="{00000000-0005-0000-0000-0000AD5A0000}"/>
    <cellStyle name="Note 4 4 7" xfId="22922" xr:uid="{00000000-0005-0000-0000-0000AE5A0000}"/>
    <cellStyle name="Note 4 40" xfId="22923" xr:uid="{00000000-0005-0000-0000-0000AF5A0000}"/>
    <cellStyle name="Note 4 41" xfId="22924" xr:uid="{00000000-0005-0000-0000-0000B05A0000}"/>
    <cellStyle name="Note 4 42" xfId="22925" xr:uid="{00000000-0005-0000-0000-0000B15A0000}"/>
    <cellStyle name="Note 4 43" xfId="22926" xr:uid="{00000000-0005-0000-0000-0000B25A0000}"/>
    <cellStyle name="Note 4 44" xfId="22927" xr:uid="{00000000-0005-0000-0000-0000B35A0000}"/>
    <cellStyle name="Note 4 45" xfId="22928" xr:uid="{00000000-0005-0000-0000-0000B45A0000}"/>
    <cellStyle name="Note 4 46" xfId="22929" xr:uid="{00000000-0005-0000-0000-0000B55A0000}"/>
    <cellStyle name="Note 4 47" xfId="22930" xr:uid="{00000000-0005-0000-0000-0000B65A0000}"/>
    <cellStyle name="Note 4 48" xfId="22931" xr:uid="{00000000-0005-0000-0000-0000B75A0000}"/>
    <cellStyle name="Note 4 5" xfId="22932" xr:uid="{00000000-0005-0000-0000-0000B85A0000}"/>
    <cellStyle name="Note 4 5 2" xfId="22933" xr:uid="{00000000-0005-0000-0000-0000B95A0000}"/>
    <cellStyle name="Note 4 5 2 2" xfId="22934" xr:uid="{00000000-0005-0000-0000-0000BA5A0000}"/>
    <cellStyle name="Note 4 5 2 3" xfId="22935" xr:uid="{00000000-0005-0000-0000-0000BB5A0000}"/>
    <cellStyle name="Note 4 5 2 4" xfId="22936" xr:uid="{00000000-0005-0000-0000-0000BC5A0000}"/>
    <cellStyle name="Note 4 5 2 5" xfId="22937" xr:uid="{00000000-0005-0000-0000-0000BD5A0000}"/>
    <cellStyle name="Note 4 5 2 6" xfId="22938" xr:uid="{00000000-0005-0000-0000-0000BE5A0000}"/>
    <cellStyle name="Note 4 5 2 7" xfId="22939" xr:uid="{00000000-0005-0000-0000-0000BF5A0000}"/>
    <cellStyle name="Note 4 5 3" xfId="22940" xr:uid="{00000000-0005-0000-0000-0000C05A0000}"/>
    <cellStyle name="Note 4 5 4" xfId="22941" xr:uid="{00000000-0005-0000-0000-0000C15A0000}"/>
    <cellStyle name="Note 4 5 5" xfId="22942" xr:uid="{00000000-0005-0000-0000-0000C25A0000}"/>
    <cellStyle name="Note 4 5 6" xfId="22943" xr:uid="{00000000-0005-0000-0000-0000C35A0000}"/>
    <cellStyle name="Note 4 5 7" xfId="22944" xr:uid="{00000000-0005-0000-0000-0000C45A0000}"/>
    <cellStyle name="Note 4 6" xfId="22945" xr:uid="{00000000-0005-0000-0000-0000C55A0000}"/>
    <cellStyle name="Note 4 6 2" xfId="22946" xr:uid="{00000000-0005-0000-0000-0000C65A0000}"/>
    <cellStyle name="Note 4 6 2 2" xfId="22947" xr:uid="{00000000-0005-0000-0000-0000C75A0000}"/>
    <cellStyle name="Note 4 6 2 3" xfId="22948" xr:uid="{00000000-0005-0000-0000-0000C85A0000}"/>
    <cellStyle name="Note 4 6 2 4" xfId="22949" xr:uid="{00000000-0005-0000-0000-0000C95A0000}"/>
    <cellStyle name="Note 4 6 2 5" xfId="22950" xr:uid="{00000000-0005-0000-0000-0000CA5A0000}"/>
    <cellStyle name="Note 4 6 2 6" xfId="22951" xr:uid="{00000000-0005-0000-0000-0000CB5A0000}"/>
    <cellStyle name="Note 4 6 2 7" xfId="22952" xr:uid="{00000000-0005-0000-0000-0000CC5A0000}"/>
    <cellStyle name="Note 4 6 3" xfId="22953" xr:uid="{00000000-0005-0000-0000-0000CD5A0000}"/>
    <cellStyle name="Note 4 6 4" xfId="22954" xr:uid="{00000000-0005-0000-0000-0000CE5A0000}"/>
    <cellStyle name="Note 4 6 5" xfId="22955" xr:uid="{00000000-0005-0000-0000-0000CF5A0000}"/>
    <cellStyle name="Note 4 6 6" xfId="22956" xr:uid="{00000000-0005-0000-0000-0000D05A0000}"/>
    <cellStyle name="Note 4 6 7" xfId="22957" xr:uid="{00000000-0005-0000-0000-0000D15A0000}"/>
    <cellStyle name="Note 4 7" xfId="22958" xr:uid="{00000000-0005-0000-0000-0000D25A0000}"/>
    <cellStyle name="Note 4 7 2" xfId="22959" xr:uid="{00000000-0005-0000-0000-0000D35A0000}"/>
    <cellStyle name="Note 4 7 2 2" xfId="22960" xr:uid="{00000000-0005-0000-0000-0000D45A0000}"/>
    <cellStyle name="Note 4 7 2 3" xfId="22961" xr:uid="{00000000-0005-0000-0000-0000D55A0000}"/>
    <cellStyle name="Note 4 7 2 4" xfId="22962" xr:uid="{00000000-0005-0000-0000-0000D65A0000}"/>
    <cellStyle name="Note 4 7 2 5" xfId="22963" xr:uid="{00000000-0005-0000-0000-0000D75A0000}"/>
    <cellStyle name="Note 4 7 2 6" xfId="22964" xr:uid="{00000000-0005-0000-0000-0000D85A0000}"/>
    <cellStyle name="Note 4 7 2 7" xfId="22965" xr:uid="{00000000-0005-0000-0000-0000D95A0000}"/>
    <cellStyle name="Note 4 7 3" xfId="22966" xr:uid="{00000000-0005-0000-0000-0000DA5A0000}"/>
    <cellStyle name="Note 4 7 4" xfId="22967" xr:uid="{00000000-0005-0000-0000-0000DB5A0000}"/>
    <cellStyle name="Note 4 7 5" xfId="22968" xr:uid="{00000000-0005-0000-0000-0000DC5A0000}"/>
    <cellStyle name="Note 4 7 6" xfId="22969" xr:uid="{00000000-0005-0000-0000-0000DD5A0000}"/>
    <cellStyle name="Note 4 7 7" xfId="22970" xr:uid="{00000000-0005-0000-0000-0000DE5A0000}"/>
    <cellStyle name="Note 4 8" xfId="22971" xr:uid="{00000000-0005-0000-0000-0000DF5A0000}"/>
    <cellStyle name="Note 4 8 2" xfId="22972" xr:uid="{00000000-0005-0000-0000-0000E05A0000}"/>
    <cellStyle name="Note 4 8 2 2" xfId="22973" xr:uid="{00000000-0005-0000-0000-0000E15A0000}"/>
    <cellStyle name="Note 4 8 2 3" xfId="22974" xr:uid="{00000000-0005-0000-0000-0000E25A0000}"/>
    <cellStyle name="Note 4 8 2 4" xfId="22975" xr:uid="{00000000-0005-0000-0000-0000E35A0000}"/>
    <cellStyle name="Note 4 8 2 5" xfId="22976" xr:uid="{00000000-0005-0000-0000-0000E45A0000}"/>
    <cellStyle name="Note 4 8 2 6" xfId="22977" xr:uid="{00000000-0005-0000-0000-0000E55A0000}"/>
    <cellStyle name="Note 4 8 2 7" xfId="22978" xr:uid="{00000000-0005-0000-0000-0000E65A0000}"/>
    <cellStyle name="Note 4 8 3" xfId="22979" xr:uid="{00000000-0005-0000-0000-0000E75A0000}"/>
    <cellStyle name="Note 4 8 4" xfId="22980" xr:uid="{00000000-0005-0000-0000-0000E85A0000}"/>
    <cellStyle name="Note 4 8 5" xfId="22981" xr:uid="{00000000-0005-0000-0000-0000E95A0000}"/>
    <cellStyle name="Note 4 8 6" xfId="22982" xr:uid="{00000000-0005-0000-0000-0000EA5A0000}"/>
    <cellStyle name="Note 4 8 7" xfId="22983" xr:uid="{00000000-0005-0000-0000-0000EB5A0000}"/>
    <cellStyle name="Note 4 9" xfId="22984" xr:uid="{00000000-0005-0000-0000-0000EC5A0000}"/>
    <cellStyle name="Note 4 9 2" xfId="22985" xr:uid="{00000000-0005-0000-0000-0000ED5A0000}"/>
    <cellStyle name="Note 40" xfId="22986" xr:uid="{00000000-0005-0000-0000-0000EE5A0000}"/>
    <cellStyle name="Note 40 2" xfId="22987" xr:uid="{00000000-0005-0000-0000-0000EF5A0000}"/>
    <cellStyle name="Note 40 3" xfId="22988" xr:uid="{00000000-0005-0000-0000-0000F05A0000}"/>
    <cellStyle name="Note 40 4" xfId="22989" xr:uid="{00000000-0005-0000-0000-0000F15A0000}"/>
    <cellStyle name="Note 40 5" xfId="22990" xr:uid="{00000000-0005-0000-0000-0000F25A0000}"/>
    <cellStyle name="Note 40 6" xfId="22991" xr:uid="{00000000-0005-0000-0000-0000F35A0000}"/>
    <cellStyle name="Note 40 7" xfId="22992" xr:uid="{00000000-0005-0000-0000-0000F45A0000}"/>
    <cellStyle name="Note 40 8" xfId="22993" xr:uid="{00000000-0005-0000-0000-0000F55A0000}"/>
    <cellStyle name="Note 40 9" xfId="22994" xr:uid="{00000000-0005-0000-0000-0000F65A0000}"/>
    <cellStyle name="Note 41" xfId="22995" xr:uid="{00000000-0005-0000-0000-0000F75A0000}"/>
    <cellStyle name="Note 41 2" xfId="22996" xr:uid="{00000000-0005-0000-0000-0000F85A0000}"/>
    <cellStyle name="Note 41 3" xfId="22997" xr:uid="{00000000-0005-0000-0000-0000F95A0000}"/>
    <cellStyle name="Note 41 4" xfId="22998" xr:uid="{00000000-0005-0000-0000-0000FA5A0000}"/>
    <cellStyle name="Note 41 5" xfId="22999" xr:uid="{00000000-0005-0000-0000-0000FB5A0000}"/>
    <cellStyle name="Note 41 6" xfId="23000" xr:uid="{00000000-0005-0000-0000-0000FC5A0000}"/>
    <cellStyle name="Note 41 7" xfId="23001" xr:uid="{00000000-0005-0000-0000-0000FD5A0000}"/>
    <cellStyle name="Note 41 8" xfId="23002" xr:uid="{00000000-0005-0000-0000-0000FE5A0000}"/>
    <cellStyle name="Note 41 9" xfId="23003" xr:uid="{00000000-0005-0000-0000-0000FF5A0000}"/>
    <cellStyle name="Note 42" xfId="23004" xr:uid="{00000000-0005-0000-0000-0000005B0000}"/>
    <cellStyle name="Note 42 2" xfId="23005" xr:uid="{00000000-0005-0000-0000-0000015B0000}"/>
    <cellStyle name="Note 42 3" xfId="23006" xr:uid="{00000000-0005-0000-0000-0000025B0000}"/>
    <cellStyle name="Note 42 4" xfId="23007" xr:uid="{00000000-0005-0000-0000-0000035B0000}"/>
    <cellStyle name="Note 42 5" xfId="23008" xr:uid="{00000000-0005-0000-0000-0000045B0000}"/>
    <cellStyle name="Note 42 6" xfId="23009" xr:uid="{00000000-0005-0000-0000-0000055B0000}"/>
    <cellStyle name="Note 42 7" xfId="23010" xr:uid="{00000000-0005-0000-0000-0000065B0000}"/>
    <cellStyle name="Note 42 8" xfId="23011" xr:uid="{00000000-0005-0000-0000-0000075B0000}"/>
    <cellStyle name="Note 42 9" xfId="23012" xr:uid="{00000000-0005-0000-0000-0000085B0000}"/>
    <cellStyle name="Note 43" xfId="23013" xr:uid="{00000000-0005-0000-0000-0000095B0000}"/>
    <cellStyle name="Note 43 2" xfId="23014" xr:uid="{00000000-0005-0000-0000-00000A5B0000}"/>
    <cellStyle name="Note 43 3" xfId="23015" xr:uid="{00000000-0005-0000-0000-00000B5B0000}"/>
    <cellStyle name="Note 43 4" xfId="23016" xr:uid="{00000000-0005-0000-0000-00000C5B0000}"/>
    <cellStyle name="Note 43 5" xfId="23017" xr:uid="{00000000-0005-0000-0000-00000D5B0000}"/>
    <cellStyle name="Note 43 6" xfId="23018" xr:uid="{00000000-0005-0000-0000-00000E5B0000}"/>
    <cellStyle name="Note 43 7" xfId="23019" xr:uid="{00000000-0005-0000-0000-00000F5B0000}"/>
    <cellStyle name="Note 43 8" xfId="23020" xr:uid="{00000000-0005-0000-0000-0000105B0000}"/>
    <cellStyle name="Note 43 9" xfId="23021" xr:uid="{00000000-0005-0000-0000-0000115B0000}"/>
    <cellStyle name="Note 44" xfId="23022" xr:uid="{00000000-0005-0000-0000-0000125B0000}"/>
    <cellStyle name="Note 44 2" xfId="23023" xr:uid="{00000000-0005-0000-0000-0000135B0000}"/>
    <cellStyle name="Note 44 3" xfId="23024" xr:uid="{00000000-0005-0000-0000-0000145B0000}"/>
    <cellStyle name="Note 44 4" xfId="23025" xr:uid="{00000000-0005-0000-0000-0000155B0000}"/>
    <cellStyle name="Note 44 5" xfId="23026" xr:uid="{00000000-0005-0000-0000-0000165B0000}"/>
    <cellStyle name="Note 44 6" xfId="23027" xr:uid="{00000000-0005-0000-0000-0000175B0000}"/>
    <cellStyle name="Note 44 7" xfId="23028" xr:uid="{00000000-0005-0000-0000-0000185B0000}"/>
    <cellStyle name="Note 44 8" xfId="23029" xr:uid="{00000000-0005-0000-0000-0000195B0000}"/>
    <cellStyle name="Note 44 9" xfId="23030" xr:uid="{00000000-0005-0000-0000-00001A5B0000}"/>
    <cellStyle name="Note 45" xfId="23031" xr:uid="{00000000-0005-0000-0000-00001B5B0000}"/>
    <cellStyle name="Note 45 2" xfId="23032" xr:uid="{00000000-0005-0000-0000-00001C5B0000}"/>
    <cellStyle name="Note 45 3" xfId="23033" xr:uid="{00000000-0005-0000-0000-00001D5B0000}"/>
    <cellStyle name="Note 45 4" xfId="23034" xr:uid="{00000000-0005-0000-0000-00001E5B0000}"/>
    <cellStyle name="Note 45 5" xfId="23035" xr:uid="{00000000-0005-0000-0000-00001F5B0000}"/>
    <cellStyle name="Note 45 6" xfId="23036" xr:uid="{00000000-0005-0000-0000-0000205B0000}"/>
    <cellStyle name="Note 45 7" xfId="23037" xr:uid="{00000000-0005-0000-0000-0000215B0000}"/>
    <cellStyle name="Note 45 8" xfId="23038" xr:uid="{00000000-0005-0000-0000-0000225B0000}"/>
    <cellStyle name="Note 45 9" xfId="23039" xr:uid="{00000000-0005-0000-0000-0000235B0000}"/>
    <cellStyle name="Note 46" xfId="23040" xr:uid="{00000000-0005-0000-0000-0000245B0000}"/>
    <cellStyle name="Note 46 2" xfId="23041" xr:uid="{00000000-0005-0000-0000-0000255B0000}"/>
    <cellStyle name="Note 46 3" xfId="23042" xr:uid="{00000000-0005-0000-0000-0000265B0000}"/>
    <cellStyle name="Note 46 4" xfId="23043" xr:uid="{00000000-0005-0000-0000-0000275B0000}"/>
    <cellStyle name="Note 46 5" xfId="23044" xr:uid="{00000000-0005-0000-0000-0000285B0000}"/>
    <cellStyle name="Note 46 6" xfId="23045" xr:uid="{00000000-0005-0000-0000-0000295B0000}"/>
    <cellStyle name="Note 46 7" xfId="23046" xr:uid="{00000000-0005-0000-0000-00002A5B0000}"/>
    <cellStyle name="Note 46 8" xfId="23047" xr:uid="{00000000-0005-0000-0000-00002B5B0000}"/>
    <cellStyle name="Note 46 9" xfId="23048" xr:uid="{00000000-0005-0000-0000-00002C5B0000}"/>
    <cellStyle name="Note 47" xfId="23049" xr:uid="{00000000-0005-0000-0000-00002D5B0000}"/>
    <cellStyle name="Note 47 2" xfId="23050" xr:uid="{00000000-0005-0000-0000-00002E5B0000}"/>
    <cellStyle name="Note 47 3" xfId="23051" xr:uid="{00000000-0005-0000-0000-00002F5B0000}"/>
    <cellStyle name="Note 47 4" xfId="23052" xr:uid="{00000000-0005-0000-0000-0000305B0000}"/>
    <cellStyle name="Note 47 5" xfId="23053" xr:uid="{00000000-0005-0000-0000-0000315B0000}"/>
    <cellStyle name="Note 47 6" xfId="23054" xr:uid="{00000000-0005-0000-0000-0000325B0000}"/>
    <cellStyle name="Note 47 7" xfId="23055" xr:uid="{00000000-0005-0000-0000-0000335B0000}"/>
    <cellStyle name="Note 47 8" xfId="23056" xr:uid="{00000000-0005-0000-0000-0000345B0000}"/>
    <cellStyle name="Note 47 9" xfId="23057" xr:uid="{00000000-0005-0000-0000-0000355B0000}"/>
    <cellStyle name="Note 48" xfId="23058" xr:uid="{00000000-0005-0000-0000-0000365B0000}"/>
    <cellStyle name="Note 48 2" xfId="23059" xr:uid="{00000000-0005-0000-0000-0000375B0000}"/>
    <cellStyle name="Note 48 3" xfId="23060" xr:uid="{00000000-0005-0000-0000-0000385B0000}"/>
    <cellStyle name="Note 48 4" xfId="23061" xr:uid="{00000000-0005-0000-0000-0000395B0000}"/>
    <cellStyle name="Note 48 5" xfId="23062" xr:uid="{00000000-0005-0000-0000-00003A5B0000}"/>
    <cellStyle name="Note 48 6" xfId="23063" xr:uid="{00000000-0005-0000-0000-00003B5B0000}"/>
    <cellStyle name="Note 48 7" xfId="23064" xr:uid="{00000000-0005-0000-0000-00003C5B0000}"/>
    <cellStyle name="Note 48 8" xfId="23065" xr:uid="{00000000-0005-0000-0000-00003D5B0000}"/>
    <cellStyle name="Note 48 9" xfId="23066" xr:uid="{00000000-0005-0000-0000-00003E5B0000}"/>
    <cellStyle name="Note 49" xfId="23067" xr:uid="{00000000-0005-0000-0000-00003F5B0000}"/>
    <cellStyle name="Note 49 2" xfId="23068" xr:uid="{00000000-0005-0000-0000-0000405B0000}"/>
    <cellStyle name="Note 49 3" xfId="23069" xr:uid="{00000000-0005-0000-0000-0000415B0000}"/>
    <cellStyle name="Note 49 4" xfId="23070" xr:uid="{00000000-0005-0000-0000-0000425B0000}"/>
    <cellStyle name="Note 49 5" xfId="23071" xr:uid="{00000000-0005-0000-0000-0000435B0000}"/>
    <cellStyle name="Note 49 6" xfId="23072" xr:uid="{00000000-0005-0000-0000-0000445B0000}"/>
    <cellStyle name="Note 49 7" xfId="23073" xr:uid="{00000000-0005-0000-0000-0000455B0000}"/>
    <cellStyle name="Note 49 8" xfId="23074" xr:uid="{00000000-0005-0000-0000-0000465B0000}"/>
    <cellStyle name="Note 49 9" xfId="23075" xr:uid="{00000000-0005-0000-0000-0000475B0000}"/>
    <cellStyle name="Note 5" xfId="23076" xr:uid="{00000000-0005-0000-0000-0000485B0000}"/>
    <cellStyle name="Note 5 10" xfId="23077" xr:uid="{00000000-0005-0000-0000-0000495B0000}"/>
    <cellStyle name="Note 5 11" xfId="23078" xr:uid="{00000000-0005-0000-0000-00004A5B0000}"/>
    <cellStyle name="Note 5 12" xfId="23079" xr:uid="{00000000-0005-0000-0000-00004B5B0000}"/>
    <cellStyle name="Note 5 13" xfId="23080" xr:uid="{00000000-0005-0000-0000-00004C5B0000}"/>
    <cellStyle name="Note 5 14" xfId="23081" xr:uid="{00000000-0005-0000-0000-00004D5B0000}"/>
    <cellStyle name="Note 5 15" xfId="23082" xr:uid="{00000000-0005-0000-0000-00004E5B0000}"/>
    <cellStyle name="Note 5 16" xfId="23083" xr:uid="{00000000-0005-0000-0000-00004F5B0000}"/>
    <cellStyle name="Note 5 17" xfId="23084" xr:uid="{00000000-0005-0000-0000-0000505B0000}"/>
    <cellStyle name="Note 5 18" xfId="23085" xr:uid="{00000000-0005-0000-0000-0000515B0000}"/>
    <cellStyle name="Note 5 19" xfId="23086" xr:uid="{00000000-0005-0000-0000-0000525B0000}"/>
    <cellStyle name="Note 5 2" xfId="23087" xr:uid="{00000000-0005-0000-0000-0000535B0000}"/>
    <cellStyle name="Note 5 2 2" xfId="23088" xr:uid="{00000000-0005-0000-0000-0000545B0000}"/>
    <cellStyle name="Note 5 2 2 2" xfId="23089" xr:uid="{00000000-0005-0000-0000-0000555B0000}"/>
    <cellStyle name="Note 5 2 2 3" xfId="23090" xr:uid="{00000000-0005-0000-0000-0000565B0000}"/>
    <cellStyle name="Note 5 2 2 4" xfId="23091" xr:uid="{00000000-0005-0000-0000-0000575B0000}"/>
    <cellStyle name="Note 5 2 2 5" xfId="23092" xr:uid="{00000000-0005-0000-0000-0000585B0000}"/>
    <cellStyle name="Note 5 2 2 6" xfId="23093" xr:uid="{00000000-0005-0000-0000-0000595B0000}"/>
    <cellStyle name="Note 5 2 2 7" xfId="23094" xr:uid="{00000000-0005-0000-0000-00005A5B0000}"/>
    <cellStyle name="Note 5 2 3" xfId="23095" xr:uid="{00000000-0005-0000-0000-00005B5B0000}"/>
    <cellStyle name="Note 5 2 4" xfId="23096" xr:uid="{00000000-0005-0000-0000-00005C5B0000}"/>
    <cellStyle name="Note 5 2 5" xfId="23097" xr:uid="{00000000-0005-0000-0000-00005D5B0000}"/>
    <cellStyle name="Note 5 2 6" xfId="23098" xr:uid="{00000000-0005-0000-0000-00005E5B0000}"/>
    <cellStyle name="Note 5 2 7" xfId="23099" xr:uid="{00000000-0005-0000-0000-00005F5B0000}"/>
    <cellStyle name="Note 5 20" xfId="23100" xr:uid="{00000000-0005-0000-0000-0000605B0000}"/>
    <cellStyle name="Note 5 21" xfId="23101" xr:uid="{00000000-0005-0000-0000-0000615B0000}"/>
    <cellStyle name="Note 5 22" xfId="23102" xr:uid="{00000000-0005-0000-0000-0000625B0000}"/>
    <cellStyle name="Note 5 23" xfId="23103" xr:uid="{00000000-0005-0000-0000-0000635B0000}"/>
    <cellStyle name="Note 5 24" xfId="23104" xr:uid="{00000000-0005-0000-0000-0000645B0000}"/>
    <cellStyle name="Note 5 25" xfId="23105" xr:uid="{00000000-0005-0000-0000-0000655B0000}"/>
    <cellStyle name="Note 5 26" xfId="23106" xr:uid="{00000000-0005-0000-0000-0000665B0000}"/>
    <cellStyle name="Note 5 27" xfId="23107" xr:uid="{00000000-0005-0000-0000-0000675B0000}"/>
    <cellStyle name="Note 5 28" xfId="23108" xr:uid="{00000000-0005-0000-0000-0000685B0000}"/>
    <cellStyle name="Note 5 29" xfId="23109" xr:uid="{00000000-0005-0000-0000-0000695B0000}"/>
    <cellStyle name="Note 5 3" xfId="23110" xr:uid="{00000000-0005-0000-0000-00006A5B0000}"/>
    <cellStyle name="Note 5 3 2" xfId="23111" xr:uid="{00000000-0005-0000-0000-00006B5B0000}"/>
    <cellStyle name="Note 5 3 2 2" xfId="23112" xr:uid="{00000000-0005-0000-0000-00006C5B0000}"/>
    <cellStyle name="Note 5 3 2 3" xfId="23113" xr:uid="{00000000-0005-0000-0000-00006D5B0000}"/>
    <cellStyle name="Note 5 3 2 4" xfId="23114" xr:uid="{00000000-0005-0000-0000-00006E5B0000}"/>
    <cellStyle name="Note 5 3 2 5" xfId="23115" xr:uid="{00000000-0005-0000-0000-00006F5B0000}"/>
    <cellStyle name="Note 5 3 2 6" xfId="23116" xr:uid="{00000000-0005-0000-0000-0000705B0000}"/>
    <cellStyle name="Note 5 3 2 7" xfId="23117" xr:uid="{00000000-0005-0000-0000-0000715B0000}"/>
    <cellStyle name="Note 5 3 3" xfId="23118" xr:uid="{00000000-0005-0000-0000-0000725B0000}"/>
    <cellStyle name="Note 5 3 4" xfId="23119" xr:uid="{00000000-0005-0000-0000-0000735B0000}"/>
    <cellStyle name="Note 5 3 5" xfId="23120" xr:uid="{00000000-0005-0000-0000-0000745B0000}"/>
    <cellStyle name="Note 5 3 6" xfId="23121" xr:uid="{00000000-0005-0000-0000-0000755B0000}"/>
    <cellStyle name="Note 5 3 7" xfId="23122" xr:uid="{00000000-0005-0000-0000-0000765B0000}"/>
    <cellStyle name="Note 5 30" xfId="23123" xr:uid="{00000000-0005-0000-0000-0000775B0000}"/>
    <cellStyle name="Note 5 31" xfId="23124" xr:uid="{00000000-0005-0000-0000-0000785B0000}"/>
    <cellStyle name="Note 5 32" xfId="23125" xr:uid="{00000000-0005-0000-0000-0000795B0000}"/>
    <cellStyle name="Note 5 33" xfId="23126" xr:uid="{00000000-0005-0000-0000-00007A5B0000}"/>
    <cellStyle name="Note 5 34" xfId="23127" xr:uid="{00000000-0005-0000-0000-00007B5B0000}"/>
    <cellStyle name="Note 5 35" xfId="23128" xr:uid="{00000000-0005-0000-0000-00007C5B0000}"/>
    <cellStyle name="Note 5 36" xfId="23129" xr:uid="{00000000-0005-0000-0000-00007D5B0000}"/>
    <cellStyle name="Note 5 37" xfId="23130" xr:uid="{00000000-0005-0000-0000-00007E5B0000}"/>
    <cellStyle name="Note 5 38" xfId="23131" xr:uid="{00000000-0005-0000-0000-00007F5B0000}"/>
    <cellStyle name="Note 5 39" xfId="23132" xr:uid="{00000000-0005-0000-0000-0000805B0000}"/>
    <cellStyle name="Note 5 4" xfId="23133" xr:uid="{00000000-0005-0000-0000-0000815B0000}"/>
    <cellStyle name="Note 5 4 2" xfId="23134" xr:uid="{00000000-0005-0000-0000-0000825B0000}"/>
    <cellStyle name="Note 5 4 2 2" xfId="23135" xr:uid="{00000000-0005-0000-0000-0000835B0000}"/>
    <cellStyle name="Note 5 4 2 3" xfId="23136" xr:uid="{00000000-0005-0000-0000-0000845B0000}"/>
    <cellStyle name="Note 5 4 2 4" xfId="23137" xr:uid="{00000000-0005-0000-0000-0000855B0000}"/>
    <cellStyle name="Note 5 4 2 5" xfId="23138" xr:uid="{00000000-0005-0000-0000-0000865B0000}"/>
    <cellStyle name="Note 5 4 2 6" xfId="23139" xr:uid="{00000000-0005-0000-0000-0000875B0000}"/>
    <cellStyle name="Note 5 4 2 7" xfId="23140" xr:uid="{00000000-0005-0000-0000-0000885B0000}"/>
    <cellStyle name="Note 5 4 3" xfId="23141" xr:uid="{00000000-0005-0000-0000-0000895B0000}"/>
    <cellStyle name="Note 5 4 4" xfId="23142" xr:uid="{00000000-0005-0000-0000-00008A5B0000}"/>
    <cellStyle name="Note 5 4 5" xfId="23143" xr:uid="{00000000-0005-0000-0000-00008B5B0000}"/>
    <cellStyle name="Note 5 4 6" xfId="23144" xr:uid="{00000000-0005-0000-0000-00008C5B0000}"/>
    <cellStyle name="Note 5 4 7" xfId="23145" xr:uid="{00000000-0005-0000-0000-00008D5B0000}"/>
    <cellStyle name="Note 5 40" xfId="23146" xr:uid="{00000000-0005-0000-0000-00008E5B0000}"/>
    <cellStyle name="Note 5 41" xfId="23147" xr:uid="{00000000-0005-0000-0000-00008F5B0000}"/>
    <cellStyle name="Note 5 42" xfId="23148" xr:uid="{00000000-0005-0000-0000-0000905B0000}"/>
    <cellStyle name="Note 5 43" xfId="23149" xr:uid="{00000000-0005-0000-0000-0000915B0000}"/>
    <cellStyle name="Note 5 44" xfId="23150" xr:uid="{00000000-0005-0000-0000-0000925B0000}"/>
    <cellStyle name="Note 5 45" xfId="23151" xr:uid="{00000000-0005-0000-0000-0000935B0000}"/>
    <cellStyle name="Note 5 46" xfId="23152" xr:uid="{00000000-0005-0000-0000-0000945B0000}"/>
    <cellStyle name="Note 5 47" xfId="23153" xr:uid="{00000000-0005-0000-0000-0000955B0000}"/>
    <cellStyle name="Note 5 48" xfId="23154" xr:uid="{00000000-0005-0000-0000-0000965B0000}"/>
    <cellStyle name="Note 5 5" xfId="23155" xr:uid="{00000000-0005-0000-0000-0000975B0000}"/>
    <cellStyle name="Note 5 5 2" xfId="23156" xr:uid="{00000000-0005-0000-0000-0000985B0000}"/>
    <cellStyle name="Note 5 5 2 2" xfId="23157" xr:uid="{00000000-0005-0000-0000-0000995B0000}"/>
    <cellStyle name="Note 5 5 2 3" xfId="23158" xr:uid="{00000000-0005-0000-0000-00009A5B0000}"/>
    <cellStyle name="Note 5 5 2 4" xfId="23159" xr:uid="{00000000-0005-0000-0000-00009B5B0000}"/>
    <cellStyle name="Note 5 5 2 5" xfId="23160" xr:uid="{00000000-0005-0000-0000-00009C5B0000}"/>
    <cellStyle name="Note 5 5 2 6" xfId="23161" xr:uid="{00000000-0005-0000-0000-00009D5B0000}"/>
    <cellStyle name="Note 5 5 2 7" xfId="23162" xr:uid="{00000000-0005-0000-0000-00009E5B0000}"/>
    <cellStyle name="Note 5 5 3" xfId="23163" xr:uid="{00000000-0005-0000-0000-00009F5B0000}"/>
    <cellStyle name="Note 5 5 4" xfId="23164" xr:uid="{00000000-0005-0000-0000-0000A05B0000}"/>
    <cellStyle name="Note 5 5 5" xfId="23165" xr:uid="{00000000-0005-0000-0000-0000A15B0000}"/>
    <cellStyle name="Note 5 5 6" xfId="23166" xr:uid="{00000000-0005-0000-0000-0000A25B0000}"/>
    <cellStyle name="Note 5 5 7" xfId="23167" xr:uid="{00000000-0005-0000-0000-0000A35B0000}"/>
    <cellStyle name="Note 5 6" xfId="23168" xr:uid="{00000000-0005-0000-0000-0000A45B0000}"/>
    <cellStyle name="Note 5 6 2" xfId="23169" xr:uid="{00000000-0005-0000-0000-0000A55B0000}"/>
    <cellStyle name="Note 5 6 2 2" xfId="23170" xr:uid="{00000000-0005-0000-0000-0000A65B0000}"/>
    <cellStyle name="Note 5 6 2 3" xfId="23171" xr:uid="{00000000-0005-0000-0000-0000A75B0000}"/>
    <cellStyle name="Note 5 6 2 4" xfId="23172" xr:uid="{00000000-0005-0000-0000-0000A85B0000}"/>
    <cellStyle name="Note 5 6 2 5" xfId="23173" xr:uid="{00000000-0005-0000-0000-0000A95B0000}"/>
    <cellStyle name="Note 5 6 2 6" xfId="23174" xr:uid="{00000000-0005-0000-0000-0000AA5B0000}"/>
    <cellStyle name="Note 5 6 2 7" xfId="23175" xr:uid="{00000000-0005-0000-0000-0000AB5B0000}"/>
    <cellStyle name="Note 5 6 3" xfId="23176" xr:uid="{00000000-0005-0000-0000-0000AC5B0000}"/>
    <cellStyle name="Note 5 6 4" xfId="23177" xr:uid="{00000000-0005-0000-0000-0000AD5B0000}"/>
    <cellStyle name="Note 5 6 5" xfId="23178" xr:uid="{00000000-0005-0000-0000-0000AE5B0000}"/>
    <cellStyle name="Note 5 6 6" xfId="23179" xr:uid="{00000000-0005-0000-0000-0000AF5B0000}"/>
    <cellStyle name="Note 5 6 7" xfId="23180" xr:uid="{00000000-0005-0000-0000-0000B05B0000}"/>
    <cellStyle name="Note 5 7" xfId="23181" xr:uid="{00000000-0005-0000-0000-0000B15B0000}"/>
    <cellStyle name="Note 5 7 2" xfId="23182" xr:uid="{00000000-0005-0000-0000-0000B25B0000}"/>
    <cellStyle name="Note 5 7 2 2" xfId="23183" xr:uid="{00000000-0005-0000-0000-0000B35B0000}"/>
    <cellStyle name="Note 5 7 2 3" xfId="23184" xr:uid="{00000000-0005-0000-0000-0000B45B0000}"/>
    <cellStyle name="Note 5 7 2 4" xfId="23185" xr:uid="{00000000-0005-0000-0000-0000B55B0000}"/>
    <cellStyle name="Note 5 7 2 5" xfId="23186" xr:uid="{00000000-0005-0000-0000-0000B65B0000}"/>
    <cellStyle name="Note 5 7 2 6" xfId="23187" xr:uid="{00000000-0005-0000-0000-0000B75B0000}"/>
    <cellStyle name="Note 5 7 2 7" xfId="23188" xr:uid="{00000000-0005-0000-0000-0000B85B0000}"/>
    <cellStyle name="Note 5 7 3" xfId="23189" xr:uid="{00000000-0005-0000-0000-0000B95B0000}"/>
    <cellStyle name="Note 5 7 4" xfId="23190" xr:uid="{00000000-0005-0000-0000-0000BA5B0000}"/>
    <cellStyle name="Note 5 7 5" xfId="23191" xr:uid="{00000000-0005-0000-0000-0000BB5B0000}"/>
    <cellStyle name="Note 5 7 6" xfId="23192" xr:uid="{00000000-0005-0000-0000-0000BC5B0000}"/>
    <cellStyle name="Note 5 7 7" xfId="23193" xr:uid="{00000000-0005-0000-0000-0000BD5B0000}"/>
    <cellStyle name="Note 5 8" xfId="23194" xr:uid="{00000000-0005-0000-0000-0000BE5B0000}"/>
    <cellStyle name="Note 5 8 2" xfId="23195" xr:uid="{00000000-0005-0000-0000-0000BF5B0000}"/>
    <cellStyle name="Note 5 9" xfId="23196" xr:uid="{00000000-0005-0000-0000-0000C05B0000}"/>
    <cellStyle name="Note 5 9 2" xfId="23197" xr:uid="{00000000-0005-0000-0000-0000C15B0000}"/>
    <cellStyle name="Note 50" xfId="23198" xr:uid="{00000000-0005-0000-0000-0000C25B0000}"/>
    <cellStyle name="Note 50 2" xfId="23199" xr:uid="{00000000-0005-0000-0000-0000C35B0000}"/>
    <cellStyle name="Note 50 3" xfId="23200" xr:uid="{00000000-0005-0000-0000-0000C45B0000}"/>
    <cellStyle name="Note 50 4" xfId="23201" xr:uid="{00000000-0005-0000-0000-0000C55B0000}"/>
    <cellStyle name="Note 50 5" xfId="23202" xr:uid="{00000000-0005-0000-0000-0000C65B0000}"/>
    <cellStyle name="Note 50 6" xfId="23203" xr:uid="{00000000-0005-0000-0000-0000C75B0000}"/>
    <cellStyle name="Note 50 7" xfId="23204" xr:uid="{00000000-0005-0000-0000-0000C85B0000}"/>
    <cellStyle name="Note 50 8" xfId="23205" xr:uid="{00000000-0005-0000-0000-0000C95B0000}"/>
    <cellStyle name="Note 50 9" xfId="23206" xr:uid="{00000000-0005-0000-0000-0000CA5B0000}"/>
    <cellStyle name="Note 51" xfId="23207" xr:uid="{00000000-0005-0000-0000-0000CB5B0000}"/>
    <cellStyle name="Note 51 2" xfId="23208" xr:uid="{00000000-0005-0000-0000-0000CC5B0000}"/>
    <cellStyle name="Note 51 3" xfId="23209" xr:uid="{00000000-0005-0000-0000-0000CD5B0000}"/>
    <cellStyle name="Note 51 4" xfId="23210" xr:uid="{00000000-0005-0000-0000-0000CE5B0000}"/>
    <cellStyle name="Note 51 5" xfId="23211" xr:uid="{00000000-0005-0000-0000-0000CF5B0000}"/>
    <cellStyle name="Note 51 6" xfId="23212" xr:uid="{00000000-0005-0000-0000-0000D05B0000}"/>
    <cellStyle name="Note 51 7" xfId="23213" xr:uid="{00000000-0005-0000-0000-0000D15B0000}"/>
    <cellStyle name="Note 51 8" xfId="23214" xr:uid="{00000000-0005-0000-0000-0000D25B0000}"/>
    <cellStyle name="Note 51 9" xfId="23215" xr:uid="{00000000-0005-0000-0000-0000D35B0000}"/>
    <cellStyle name="Note 52" xfId="23216" xr:uid="{00000000-0005-0000-0000-0000D45B0000}"/>
    <cellStyle name="Note 52 2" xfId="23217" xr:uid="{00000000-0005-0000-0000-0000D55B0000}"/>
    <cellStyle name="Note 52 3" xfId="23218" xr:uid="{00000000-0005-0000-0000-0000D65B0000}"/>
    <cellStyle name="Note 52 4" xfId="23219" xr:uid="{00000000-0005-0000-0000-0000D75B0000}"/>
    <cellStyle name="Note 52 5" xfId="23220" xr:uid="{00000000-0005-0000-0000-0000D85B0000}"/>
    <cellStyle name="Note 52 6" xfId="23221" xr:uid="{00000000-0005-0000-0000-0000D95B0000}"/>
    <cellStyle name="Note 52 7" xfId="23222" xr:uid="{00000000-0005-0000-0000-0000DA5B0000}"/>
    <cellStyle name="Note 52 8" xfId="23223" xr:uid="{00000000-0005-0000-0000-0000DB5B0000}"/>
    <cellStyle name="Note 52 9" xfId="23224" xr:uid="{00000000-0005-0000-0000-0000DC5B0000}"/>
    <cellStyle name="Note 53" xfId="23225" xr:uid="{00000000-0005-0000-0000-0000DD5B0000}"/>
    <cellStyle name="Note 53 2" xfId="23226" xr:uid="{00000000-0005-0000-0000-0000DE5B0000}"/>
    <cellStyle name="Note 53 3" xfId="23227" xr:uid="{00000000-0005-0000-0000-0000DF5B0000}"/>
    <cellStyle name="Note 53 4" xfId="23228" xr:uid="{00000000-0005-0000-0000-0000E05B0000}"/>
    <cellStyle name="Note 53 5" xfId="23229" xr:uid="{00000000-0005-0000-0000-0000E15B0000}"/>
    <cellStyle name="Note 53 6" xfId="23230" xr:uid="{00000000-0005-0000-0000-0000E25B0000}"/>
    <cellStyle name="Note 53 7" xfId="23231" xr:uid="{00000000-0005-0000-0000-0000E35B0000}"/>
    <cellStyle name="Note 53 8" xfId="23232" xr:uid="{00000000-0005-0000-0000-0000E45B0000}"/>
    <cellStyle name="Note 53 9" xfId="23233" xr:uid="{00000000-0005-0000-0000-0000E55B0000}"/>
    <cellStyle name="Note 54" xfId="23234" xr:uid="{00000000-0005-0000-0000-0000E65B0000}"/>
    <cellStyle name="Note 54 2" xfId="23235" xr:uid="{00000000-0005-0000-0000-0000E75B0000}"/>
    <cellStyle name="Note 54 3" xfId="23236" xr:uid="{00000000-0005-0000-0000-0000E85B0000}"/>
    <cellStyle name="Note 54 4" xfId="23237" xr:uid="{00000000-0005-0000-0000-0000E95B0000}"/>
    <cellStyle name="Note 54 5" xfId="23238" xr:uid="{00000000-0005-0000-0000-0000EA5B0000}"/>
    <cellStyle name="Note 54 6" xfId="23239" xr:uid="{00000000-0005-0000-0000-0000EB5B0000}"/>
    <cellStyle name="Note 54 7" xfId="23240" xr:uid="{00000000-0005-0000-0000-0000EC5B0000}"/>
    <cellStyle name="Note 54 8" xfId="23241" xr:uid="{00000000-0005-0000-0000-0000ED5B0000}"/>
    <cellStyle name="Note 54 9" xfId="23242" xr:uid="{00000000-0005-0000-0000-0000EE5B0000}"/>
    <cellStyle name="Note 55" xfId="23243" xr:uid="{00000000-0005-0000-0000-0000EF5B0000}"/>
    <cellStyle name="Note 55 2" xfId="23244" xr:uid="{00000000-0005-0000-0000-0000F05B0000}"/>
    <cellStyle name="Note 55 3" xfId="23245" xr:uid="{00000000-0005-0000-0000-0000F15B0000}"/>
    <cellStyle name="Note 55 4" xfId="23246" xr:uid="{00000000-0005-0000-0000-0000F25B0000}"/>
    <cellStyle name="Note 55 5" xfId="23247" xr:uid="{00000000-0005-0000-0000-0000F35B0000}"/>
    <cellStyle name="Note 55 6" xfId="23248" xr:uid="{00000000-0005-0000-0000-0000F45B0000}"/>
    <cellStyle name="Note 55 7" xfId="23249" xr:uid="{00000000-0005-0000-0000-0000F55B0000}"/>
    <cellStyle name="Note 55 8" xfId="23250" xr:uid="{00000000-0005-0000-0000-0000F65B0000}"/>
    <cellStyle name="Note 55 9" xfId="23251" xr:uid="{00000000-0005-0000-0000-0000F75B0000}"/>
    <cellStyle name="Note 56" xfId="23252" xr:uid="{00000000-0005-0000-0000-0000F85B0000}"/>
    <cellStyle name="Note 56 2" xfId="23253" xr:uid="{00000000-0005-0000-0000-0000F95B0000}"/>
    <cellStyle name="Note 56 3" xfId="23254" xr:uid="{00000000-0005-0000-0000-0000FA5B0000}"/>
    <cellStyle name="Note 56 4" xfId="23255" xr:uid="{00000000-0005-0000-0000-0000FB5B0000}"/>
    <cellStyle name="Note 56 5" xfId="23256" xr:uid="{00000000-0005-0000-0000-0000FC5B0000}"/>
    <cellStyle name="Note 56 6" xfId="23257" xr:uid="{00000000-0005-0000-0000-0000FD5B0000}"/>
    <cellStyle name="Note 56 7" xfId="23258" xr:uid="{00000000-0005-0000-0000-0000FE5B0000}"/>
    <cellStyle name="Note 56 8" xfId="23259" xr:uid="{00000000-0005-0000-0000-0000FF5B0000}"/>
    <cellStyle name="Note 56 9" xfId="23260" xr:uid="{00000000-0005-0000-0000-0000005C0000}"/>
    <cellStyle name="Note 57" xfId="23261" xr:uid="{00000000-0005-0000-0000-0000015C0000}"/>
    <cellStyle name="Note 57 2" xfId="23262" xr:uid="{00000000-0005-0000-0000-0000025C0000}"/>
    <cellStyle name="Note 57 3" xfId="23263" xr:uid="{00000000-0005-0000-0000-0000035C0000}"/>
    <cellStyle name="Note 57 4" xfId="23264" xr:uid="{00000000-0005-0000-0000-0000045C0000}"/>
    <cellStyle name="Note 57 5" xfId="23265" xr:uid="{00000000-0005-0000-0000-0000055C0000}"/>
    <cellStyle name="Note 57 6" xfId="23266" xr:uid="{00000000-0005-0000-0000-0000065C0000}"/>
    <cellStyle name="Note 57 7" xfId="23267" xr:uid="{00000000-0005-0000-0000-0000075C0000}"/>
    <cellStyle name="Note 57 8" xfId="23268" xr:uid="{00000000-0005-0000-0000-0000085C0000}"/>
    <cellStyle name="Note 57 9" xfId="23269" xr:uid="{00000000-0005-0000-0000-0000095C0000}"/>
    <cellStyle name="Note 58" xfId="23270" xr:uid="{00000000-0005-0000-0000-00000A5C0000}"/>
    <cellStyle name="Note 58 2" xfId="23271" xr:uid="{00000000-0005-0000-0000-00000B5C0000}"/>
    <cellStyle name="Note 58 3" xfId="23272" xr:uid="{00000000-0005-0000-0000-00000C5C0000}"/>
    <cellStyle name="Note 58 4" xfId="23273" xr:uid="{00000000-0005-0000-0000-00000D5C0000}"/>
    <cellStyle name="Note 58 5" xfId="23274" xr:uid="{00000000-0005-0000-0000-00000E5C0000}"/>
    <cellStyle name="Note 58 6" xfId="23275" xr:uid="{00000000-0005-0000-0000-00000F5C0000}"/>
    <cellStyle name="Note 58 7" xfId="23276" xr:uid="{00000000-0005-0000-0000-0000105C0000}"/>
    <cellStyle name="Note 58 8" xfId="23277" xr:uid="{00000000-0005-0000-0000-0000115C0000}"/>
    <cellStyle name="Note 58 9" xfId="23278" xr:uid="{00000000-0005-0000-0000-0000125C0000}"/>
    <cellStyle name="Note 59" xfId="23279" xr:uid="{00000000-0005-0000-0000-0000135C0000}"/>
    <cellStyle name="Note 59 2" xfId="23280" xr:uid="{00000000-0005-0000-0000-0000145C0000}"/>
    <cellStyle name="Note 59 3" xfId="23281" xr:uid="{00000000-0005-0000-0000-0000155C0000}"/>
    <cellStyle name="Note 59 4" xfId="23282" xr:uid="{00000000-0005-0000-0000-0000165C0000}"/>
    <cellStyle name="Note 59 5" xfId="23283" xr:uid="{00000000-0005-0000-0000-0000175C0000}"/>
    <cellStyle name="Note 59 6" xfId="23284" xr:uid="{00000000-0005-0000-0000-0000185C0000}"/>
    <cellStyle name="Note 59 7" xfId="23285" xr:uid="{00000000-0005-0000-0000-0000195C0000}"/>
    <cellStyle name="Note 59 8" xfId="23286" xr:uid="{00000000-0005-0000-0000-00001A5C0000}"/>
    <cellStyle name="Note 59 9" xfId="23287" xr:uid="{00000000-0005-0000-0000-00001B5C0000}"/>
    <cellStyle name="Note 6" xfId="23288" xr:uid="{00000000-0005-0000-0000-00001C5C0000}"/>
    <cellStyle name="Note 6 10" xfId="23289" xr:uid="{00000000-0005-0000-0000-00001D5C0000}"/>
    <cellStyle name="Note 6 11" xfId="23290" xr:uid="{00000000-0005-0000-0000-00001E5C0000}"/>
    <cellStyle name="Note 6 12" xfId="23291" xr:uid="{00000000-0005-0000-0000-00001F5C0000}"/>
    <cellStyle name="Note 6 13" xfId="23292" xr:uid="{00000000-0005-0000-0000-0000205C0000}"/>
    <cellStyle name="Note 6 14" xfId="23293" xr:uid="{00000000-0005-0000-0000-0000215C0000}"/>
    <cellStyle name="Note 6 15" xfId="23294" xr:uid="{00000000-0005-0000-0000-0000225C0000}"/>
    <cellStyle name="Note 6 16" xfId="23295" xr:uid="{00000000-0005-0000-0000-0000235C0000}"/>
    <cellStyle name="Note 6 17" xfId="23296" xr:uid="{00000000-0005-0000-0000-0000245C0000}"/>
    <cellStyle name="Note 6 18" xfId="23297" xr:uid="{00000000-0005-0000-0000-0000255C0000}"/>
    <cellStyle name="Note 6 19" xfId="23298" xr:uid="{00000000-0005-0000-0000-0000265C0000}"/>
    <cellStyle name="Note 6 2" xfId="23299" xr:uid="{00000000-0005-0000-0000-0000275C0000}"/>
    <cellStyle name="Note 6 2 2" xfId="23300" xr:uid="{00000000-0005-0000-0000-0000285C0000}"/>
    <cellStyle name="Note 6 2 2 2" xfId="23301" xr:uid="{00000000-0005-0000-0000-0000295C0000}"/>
    <cellStyle name="Note 6 2 2 3" xfId="23302" xr:uid="{00000000-0005-0000-0000-00002A5C0000}"/>
    <cellStyle name="Note 6 2 2 4" xfId="23303" xr:uid="{00000000-0005-0000-0000-00002B5C0000}"/>
    <cellStyle name="Note 6 2 2 5" xfId="23304" xr:uid="{00000000-0005-0000-0000-00002C5C0000}"/>
    <cellStyle name="Note 6 2 2 6" xfId="23305" xr:uid="{00000000-0005-0000-0000-00002D5C0000}"/>
    <cellStyle name="Note 6 2 2 7" xfId="23306" xr:uid="{00000000-0005-0000-0000-00002E5C0000}"/>
    <cellStyle name="Note 6 2 3" xfId="23307" xr:uid="{00000000-0005-0000-0000-00002F5C0000}"/>
    <cellStyle name="Note 6 2 4" xfId="23308" xr:uid="{00000000-0005-0000-0000-0000305C0000}"/>
    <cellStyle name="Note 6 2 5" xfId="23309" xr:uid="{00000000-0005-0000-0000-0000315C0000}"/>
    <cellStyle name="Note 6 2 6" xfId="23310" xr:uid="{00000000-0005-0000-0000-0000325C0000}"/>
    <cellStyle name="Note 6 2 7" xfId="23311" xr:uid="{00000000-0005-0000-0000-0000335C0000}"/>
    <cellStyle name="Note 6 20" xfId="23312" xr:uid="{00000000-0005-0000-0000-0000345C0000}"/>
    <cellStyle name="Note 6 21" xfId="23313" xr:uid="{00000000-0005-0000-0000-0000355C0000}"/>
    <cellStyle name="Note 6 22" xfId="23314" xr:uid="{00000000-0005-0000-0000-0000365C0000}"/>
    <cellStyle name="Note 6 23" xfId="23315" xr:uid="{00000000-0005-0000-0000-0000375C0000}"/>
    <cellStyle name="Note 6 24" xfId="23316" xr:uid="{00000000-0005-0000-0000-0000385C0000}"/>
    <cellStyle name="Note 6 25" xfId="23317" xr:uid="{00000000-0005-0000-0000-0000395C0000}"/>
    <cellStyle name="Note 6 26" xfId="23318" xr:uid="{00000000-0005-0000-0000-00003A5C0000}"/>
    <cellStyle name="Note 6 27" xfId="23319" xr:uid="{00000000-0005-0000-0000-00003B5C0000}"/>
    <cellStyle name="Note 6 28" xfId="23320" xr:uid="{00000000-0005-0000-0000-00003C5C0000}"/>
    <cellStyle name="Note 6 29" xfId="23321" xr:uid="{00000000-0005-0000-0000-00003D5C0000}"/>
    <cellStyle name="Note 6 3" xfId="23322" xr:uid="{00000000-0005-0000-0000-00003E5C0000}"/>
    <cellStyle name="Note 6 3 2" xfId="23323" xr:uid="{00000000-0005-0000-0000-00003F5C0000}"/>
    <cellStyle name="Note 6 3 2 2" xfId="23324" xr:uid="{00000000-0005-0000-0000-0000405C0000}"/>
    <cellStyle name="Note 6 3 2 3" xfId="23325" xr:uid="{00000000-0005-0000-0000-0000415C0000}"/>
    <cellStyle name="Note 6 3 2 4" xfId="23326" xr:uid="{00000000-0005-0000-0000-0000425C0000}"/>
    <cellStyle name="Note 6 3 2 5" xfId="23327" xr:uid="{00000000-0005-0000-0000-0000435C0000}"/>
    <cellStyle name="Note 6 3 2 6" xfId="23328" xr:uid="{00000000-0005-0000-0000-0000445C0000}"/>
    <cellStyle name="Note 6 3 2 7" xfId="23329" xr:uid="{00000000-0005-0000-0000-0000455C0000}"/>
    <cellStyle name="Note 6 3 3" xfId="23330" xr:uid="{00000000-0005-0000-0000-0000465C0000}"/>
    <cellStyle name="Note 6 3 4" xfId="23331" xr:uid="{00000000-0005-0000-0000-0000475C0000}"/>
    <cellStyle name="Note 6 3 5" xfId="23332" xr:uid="{00000000-0005-0000-0000-0000485C0000}"/>
    <cellStyle name="Note 6 3 6" xfId="23333" xr:uid="{00000000-0005-0000-0000-0000495C0000}"/>
    <cellStyle name="Note 6 3 7" xfId="23334" xr:uid="{00000000-0005-0000-0000-00004A5C0000}"/>
    <cellStyle name="Note 6 30" xfId="23335" xr:uid="{00000000-0005-0000-0000-00004B5C0000}"/>
    <cellStyle name="Note 6 31" xfId="23336" xr:uid="{00000000-0005-0000-0000-00004C5C0000}"/>
    <cellStyle name="Note 6 32" xfId="23337" xr:uid="{00000000-0005-0000-0000-00004D5C0000}"/>
    <cellStyle name="Note 6 33" xfId="23338" xr:uid="{00000000-0005-0000-0000-00004E5C0000}"/>
    <cellStyle name="Note 6 34" xfId="23339" xr:uid="{00000000-0005-0000-0000-00004F5C0000}"/>
    <cellStyle name="Note 6 35" xfId="23340" xr:uid="{00000000-0005-0000-0000-0000505C0000}"/>
    <cellStyle name="Note 6 36" xfId="23341" xr:uid="{00000000-0005-0000-0000-0000515C0000}"/>
    <cellStyle name="Note 6 37" xfId="23342" xr:uid="{00000000-0005-0000-0000-0000525C0000}"/>
    <cellStyle name="Note 6 38" xfId="23343" xr:uid="{00000000-0005-0000-0000-0000535C0000}"/>
    <cellStyle name="Note 6 39" xfId="23344" xr:uid="{00000000-0005-0000-0000-0000545C0000}"/>
    <cellStyle name="Note 6 4" xfId="23345" xr:uid="{00000000-0005-0000-0000-0000555C0000}"/>
    <cellStyle name="Note 6 4 2" xfId="23346" xr:uid="{00000000-0005-0000-0000-0000565C0000}"/>
    <cellStyle name="Note 6 4 2 2" xfId="23347" xr:uid="{00000000-0005-0000-0000-0000575C0000}"/>
    <cellStyle name="Note 6 4 2 3" xfId="23348" xr:uid="{00000000-0005-0000-0000-0000585C0000}"/>
    <cellStyle name="Note 6 4 2 4" xfId="23349" xr:uid="{00000000-0005-0000-0000-0000595C0000}"/>
    <cellStyle name="Note 6 4 2 5" xfId="23350" xr:uid="{00000000-0005-0000-0000-00005A5C0000}"/>
    <cellStyle name="Note 6 4 2 6" xfId="23351" xr:uid="{00000000-0005-0000-0000-00005B5C0000}"/>
    <cellStyle name="Note 6 4 2 7" xfId="23352" xr:uid="{00000000-0005-0000-0000-00005C5C0000}"/>
    <cellStyle name="Note 6 4 3" xfId="23353" xr:uid="{00000000-0005-0000-0000-00005D5C0000}"/>
    <cellStyle name="Note 6 4 4" xfId="23354" xr:uid="{00000000-0005-0000-0000-00005E5C0000}"/>
    <cellStyle name="Note 6 4 5" xfId="23355" xr:uid="{00000000-0005-0000-0000-00005F5C0000}"/>
    <cellStyle name="Note 6 4 6" xfId="23356" xr:uid="{00000000-0005-0000-0000-0000605C0000}"/>
    <cellStyle name="Note 6 4 7" xfId="23357" xr:uid="{00000000-0005-0000-0000-0000615C0000}"/>
    <cellStyle name="Note 6 40" xfId="23358" xr:uid="{00000000-0005-0000-0000-0000625C0000}"/>
    <cellStyle name="Note 6 41" xfId="23359" xr:uid="{00000000-0005-0000-0000-0000635C0000}"/>
    <cellStyle name="Note 6 42" xfId="23360" xr:uid="{00000000-0005-0000-0000-0000645C0000}"/>
    <cellStyle name="Note 6 43" xfId="23361" xr:uid="{00000000-0005-0000-0000-0000655C0000}"/>
    <cellStyle name="Note 6 44" xfId="23362" xr:uid="{00000000-0005-0000-0000-0000665C0000}"/>
    <cellStyle name="Note 6 45" xfId="23363" xr:uid="{00000000-0005-0000-0000-0000675C0000}"/>
    <cellStyle name="Note 6 46" xfId="23364" xr:uid="{00000000-0005-0000-0000-0000685C0000}"/>
    <cellStyle name="Note 6 47" xfId="23365" xr:uid="{00000000-0005-0000-0000-0000695C0000}"/>
    <cellStyle name="Note 6 48" xfId="23366" xr:uid="{00000000-0005-0000-0000-00006A5C0000}"/>
    <cellStyle name="Note 6 5" xfId="23367" xr:uid="{00000000-0005-0000-0000-00006B5C0000}"/>
    <cellStyle name="Note 6 5 2" xfId="23368" xr:uid="{00000000-0005-0000-0000-00006C5C0000}"/>
    <cellStyle name="Note 6 5 2 2" xfId="23369" xr:uid="{00000000-0005-0000-0000-00006D5C0000}"/>
    <cellStyle name="Note 6 5 2 3" xfId="23370" xr:uid="{00000000-0005-0000-0000-00006E5C0000}"/>
    <cellStyle name="Note 6 5 2 4" xfId="23371" xr:uid="{00000000-0005-0000-0000-00006F5C0000}"/>
    <cellStyle name="Note 6 5 2 5" xfId="23372" xr:uid="{00000000-0005-0000-0000-0000705C0000}"/>
    <cellStyle name="Note 6 5 2 6" xfId="23373" xr:uid="{00000000-0005-0000-0000-0000715C0000}"/>
    <cellStyle name="Note 6 5 2 7" xfId="23374" xr:uid="{00000000-0005-0000-0000-0000725C0000}"/>
    <cellStyle name="Note 6 5 3" xfId="23375" xr:uid="{00000000-0005-0000-0000-0000735C0000}"/>
    <cellStyle name="Note 6 5 4" xfId="23376" xr:uid="{00000000-0005-0000-0000-0000745C0000}"/>
    <cellStyle name="Note 6 5 5" xfId="23377" xr:uid="{00000000-0005-0000-0000-0000755C0000}"/>
    <cellStyle name="Note 6 5 6" xfId="23378" xr:uid="{00000000-0005-0000-0000-0000765C0000}"/>
    <cellStyle name="Note 6 5 7" xfId="23379" xr:uid="{00000000-0005-0000-0000-0000775C0000}"/>
    <cellStyle name="Note 6 6" xfId="23380" xr:uid="{00000000-0005-0000-0000-0000785C0000}"/>
    <cellStyle name="Note 6 6 2" xfId="23381" xr:uid="{00000000-0005-0000-0000-0000795C0000}"/>
    <cellStyle name="Note 6 6 2 2" xfId="23382" xr:uid="{00000000-0005-0000-0000-00007A5C0000}"/>
    <cellStyle name="Note 6 6 2 3" xfId="23383" xr:uid="{00000000-0005-0000-0000-00007B5C0000}"/>
    <cellStyle name="Note 6 6 2 4" xfId="23384" xr:uid="{00000000-0005-0000-0000-00007C5C0000}"/>
    <cellStyle name="Note 6 6 2 5" xfId="23385" xr:uid="{00000000-0005-0000-0000-00007D5C0000}"/>
    <cellStyle name="Note 6 6 2 6" xfId="23386" xr:uid="{00000000-0005-0000-0000-00007E5C0000}"/>
    <cellStyle name="Note 6 6 2 7" xfId="23387" xr:uid="{00000000-0005-0000-0000-00007F5C0000}"/>
    <cellStyle name="Note 6 6 3" xfId="23388" xr:uid="{00000000-0005-0000-0000-0000805C0000}"/>
    <cellStyle name="Note 6 6 4" xfId="23389" xr:uid="{00000000-0005-0000-0000-0000815C0000}"/>
    <cellStyle name="Note 6 6 5" xfId="23390" xr:uid="{00000000-0005-0000-0000-0000825C0000}"/>
    <cellStyle name="Note 6 6 6" xfId="23391" xr:uid="{00000000-0005-0000-0000-0000835C0000}"/>
    <cellStyle name="Note 6 6 7" xfId="23392" xr:uid="{00000000-0005-0000-0000-0000845C0000}"/>
    <cellStyle name="Note 6 7" xfId="23393" xr:uid="{00000000-0005-0000-0000-0000855C0000}"/>
    <cellStyle name="Note 6 7 2" xfId="23394" xr:uid="{00000000-0005-0000-0000-0000865C0000}"/>
    <cellStyle name="Note 6 7 2 2" xfId="23395" xr:uid="{00000000-0005-0000-0000-0000875C0000}"/>
    <cellStyle name="Note 6 7 2 3" xfId="23396" xr:uid="{00000000-0005-0000-0000-0000885C0000}"/>
    <cellStyle name="Note 6 7 2 4" xfId="23397" xr:uid="{00000000-0005-0000-0000-0000895C0000}"/>
    <cellStyle name="Note 6 7 2 5" xfId="23398" xr:uid="{00000000-0005-0000-0000-00008A5C0000}"/>
    <cellStyle name="Note 6 7 2 6" xfId="23399" xr:uid="{00000000-0005-0000-0000-00008B5C0000}"/>
    <cellStyle name="Note 6 7 2 7" xfId="23400" xr:uid="{00000000-0005-0000-0000-00008C5C0000}"/>
    <cellStyle name="Note 6 7 3" xfId="23401" xr:uid="{00000000-0005-0000-0000-00008D5C0000}"/>
    <cellStyle name="Note 6 7 4" xfId="23402" xr:uid="{00000000-0005-0000-0000-00008E5C0000}"/>
    <cellStyle name="Note 6 7 5" xfId="23403" xr:uid="{00000000-0005-0000-0000-00008F5C0000}"/>
    <cellStyle name="Note 6 7 6" xfId="23404" xr:uid="{00000000-0005-0000-0000-0000905C0000}"/>
    <cellStyle name="Note 6 7 7" xfId="23405" xr:uid="{00000000-0005-0000-0000-0000915C0000}"/>
    <cellStyle name="Note 6 8" xfId="23406" xr:uid="{00000000-0005-0000-0000-0000925C0000}"/>
    <cellStyle name="Note 6 8 2" xfId="23407" xr:uid="{00000000-0005-0000-0000-0000935C0000}"/>
    <cellStyle name="Note 6 9" xfId="23408" xr:uid="{00000000-0005-0000-0000-0000945C0000}"/>
    <cellStyle name="Note 6 9 2" xfId="23409" xr:uid="{00000000-0005-0000-0000-0000955C0000}"/>
    <cellStyle name="Note 60" xfId="23410" xr:uid="{00000000-0005-0000-0000-0000965C0000}"/>
    <cellStyle name="Note 60 2" xfId="23411" xr:uid="{00000000-0005-0000-0000-0000975C0000}"/>
    <cellStyle name="Note 60 3" xfId="23412" xr:uid="{00000000-0005-0000-0000-0000985C0000}"/>
    <cellStyle name="Note 60 4" xfId="23413" xr:uid="{00000000-0005-0000-0000-0000995C0000}"/>
    <cellStyle name="Note 60 5" xfId="23414" xr:uid="{00000000-0005-0000-0000-00009A5C0000}"/>
    <cellStyle name="Note 60 6" xfId="23415" xr:uid="{00000000-0005-0000-0000-00009B5C0000}"/>
    <cellStyle name="Note 60 7" xfId="23416" xr:uid="{00000000-0005-0000-0000-00009C5C0000}"/>
    <cellStyle name="Note 60 8" xfId="23417" xr:uid="{00000000-0005-0000-0000-00009D5C0000}"/>
    <cellStyle name="Note 60 9" xfId="23418" xr:uid="{00000000-0005-0000-0000-00009E5C0000}"/>
    <cellStyle name="Note 61" xfId="23419" xr:uid="{00000000-0005-0000-0000-00009F5C0000}"/>
    <cellStyle name="Note 61 2" xfId="23420" xr:uid="{00000000-0005-0000-0000-0000A05C0000}"/>
    <cellStyle name="Note 61 3" xfId="23421" xr:uid="{00000000-0005-0000-0000-0000A15C0000}"/>
    <cellStyle name="Note 61 4" xfId="23422" xr:uid="{00000000-0005-0000-0000-0000A25C0000}"/>
    <cellStyle name="Note 61 5" xfId="23423" xr:uid="{00000000-0005-0000-0000-0000A35C0000}"/>
    <cellStyle name="Note 61 6" xfId="23424" xr:uid="{00000000-0005-0000-0000-0000A45C0000}"/>
    <cellStyle name="Note 61 7" xfId="23425" xr:uid="{00000000-0005-0000-0000-0000A55C0000}"/>
    <cellStyle name="Note 61 8" xfId="23426" xr:uid="{00000000-0005-0000-0000-0000A65C0000}"/>
    <cellStyle name="Note 61 9" xfId="23427" xr:uid="{00000000-0005-0000-0000-0000A75C0000}"/>
    <cellStyle name="Note 62" xfId="23428" xr:uid="{00000000-0005-0000-0000-0000A85C0000}"/>
    <cellStyle name="Note 62 2" xfId="23429" xr:uid="{00000000-0005-0000-0000-0000A95C0000}"/>
    <cellStyle name="Note 62 3" xfId="23430" xr:uid="{00000000-0005-0000-0000-0000AA5C0000}"/>
    <cellStyle name="Note 62 4" xfId="23431" xr:uid="{00000000-0005-0000-0000-0000AB5C0000}"/>
    <cellStyle name="Note 62 5" xfId="23432" xr:uid="{00000000-0005-0000-0000-0000AC5C0000}"/>
    <cellStyle name="Note 62 6" xfId="23433" xr:uid="{00000000-0005-0000-0000-0000AD5C0000}"/>
    <cellStyle name="Note 62 7" xfId="23434" xr:uid="{00000000-0005-0000-0000-0000AE5C0000}"/>
    <cellStyle name="Note 62 8" xfId="23435" xr:uid="{00000000-0005-0000-0000-0000AF5C0000}"/>
    <cellStyle name="Note 62 9" xfId="23436" xr:uid="{00000000-0005-0000-0000-0000B05C0000}"/>
    <cellStyle name="Note 63" xfId="23437" xr:uid="{00000000-0005-0000-0000-0000B15C0000}"/>
    <cellStyle name="Note 63 2" xfId="23438" xr:uid="{00000000-0005-0000-0000-0000B25C0000}"/>
    <cellStyle name="Note 63 3" xfId="23439" xr:uid="{00000000-0005-0000-0000-0000B35C0000}"/>
    <cellStyle name="Note 63 4" xfId="23440" xr:uid="{00000000-0005-0000-0000-0000B45C0000}"/>
    <cellStyle name="Note 63 5" xfId="23441" xr:uid="{00000000-0005-0000-0000-0000B55C0000}"/>
    <cellStyle name="Note 63 6" xfId="23442" xr:uid="{00000000-0005-0000-0000-0000B65C0000}"/>
    <cellStyle name="Note 63 7" xfId="23443" xr:uid="{00000000-0005-0000-0000-0000B75C0000}"/>
    <cellStyle name="Note 63 8" xfId="23444" xr:uid="{00000000-0005-0000-0000-0000B85C0000}"/>
    <cellStyle name="Note 63 9" xfId="23445" xr:uid="{00000000-0005-0000-0000-0000B95C0000}"/>
    <cellStyle name="Note 64" xfId="23446" xr:uid="{00000000-0005-0000-0000-0000BA5C0000}"/>
    <cellStyle name="Note 64 2" xfId="23447" xr:uid="{00000000-0005-0000-0000-0000BB5C0000}"/>
    <cellStyle name="Note 64 3" xfId="23448" xr:uid="{00000000-0005-0000-0000-0000BC5C0000}"/>
    <cellStyle name="Note 64 4" xfId="23449" xr:uid="{00000000-0005-0000-0000-0000BD5C0000}"/>
    <cellStyle name="Note 64 5" xfId="23450" xr:uid="{00000000-0005-0000-0000-0000BE5C0000}"/>
    <cellStyle name="Note 64 6" xfId="23451" xr:uid="{00000000-0005-0000-0000-0000BF5C0000}"/>
    <cellStyle name="Note 64 7" xfId="23452" xr:uid="{00000000-0005-0000-0000-0000C05C0000}"/>
    <cellStyle name="Note 64 8" xfId="23453" xr:uid="{00000000-0005-0000-0000-0000C15C0000}"/>
    <cellStyle name="Note 64 9" xfId="23454" xr:uid="{00000000-0005-0000-0000-0000C25C0000}"/>
    <cellStyle name="Note 65" xfId="23455" xr:uid="{00000000-0005-0000-0000-0000C35C0000}"/>
    <cellStyle name="Note 65 2" xfId="23456" xr:uid="{00000000-0005-0000-0000-0000C45C0000}"/>
    <cellStyle name="Note 65 3" xfId="23457" xr:uid="{00000000-0005-0000-0000-0000C55C0000}"/>
    <cellStyle name="Note 65 4" xfId="23458" xr:uid="{00000000-0005-0000-0000-0000C65C0000}"/>
    <cellStyle name="Note 65 5" xfId="23459" xr:uid="{00000000-0005-0000-0000-0000C75C0000}"/>
    <cellStyle name="Note 65 6" xfId="23460" xr:uid="{00000000-0005-0000-0000-0000C85C0000}"/>
    <cellStyle name="Note 65 7" xfId="23461" xr:uid="{00000000-0005-0000-0000-0000C95C0000}"/>
    <cellStyle name="Note 65 8" xfId="23462" xr:uid="{00000000-0005-0000-0000-0000CA5C0000}"/>
    <cellStyle name="Note 65 9" xfId="23463" xr:uid="{00000000-0005-0000-0000-0000CB5C0000}"/>
    <cellStyle name="Note 66" xfId="23464" xr:uid="{00000000-0005-0000-0000-0000CC5C0000}"/>
    <cellStyle name="Note 66 2" xfId="23465" xr:uid="{00000000-0005-0000-0000-0000CD5C0000}"/>
    <cellStyle name="Note 66 3" xfId="23466" xr:uid="{00000000-0005-0000-0000-0000CE5C0000}"/>
    <cellStyle name="Note 66 4" xfId="23467" xr:uid="{00000000-0005-0000-0000-0000CF5C0000}"/>
    <cellStyle name="Note 66 5" xfId="23468" xr:uid="{00000000-0005-0000-0000-0000D05C0000}"/>
    <cellStyle name="Note 66 6" xfId="23469" xr:uid="{00000000-0005-0000-0000-0000D15C0000}"/>
    <cellStyle name="Note 66 7" xfId="23470" xr:uid="{00000000-0005-0000-0000-0000D25C0000}"/>
    <cellStyle name="Note 66 8" xfId="23471" xr:uid="{00000000-0005-0000-0000-0000D35C0000}"/>
    <cellStyle name="Note 66 9" xfId="23472" xr:uid="{00000000-0005-0000-0000-0000D45C0000}"/>
    <cellStyle name="Note 67" xfId="23473" xr:uid="{00000000-0005-0000-0000-0000D55C0000}"/>
    <cellStyle name="Note 67 2" xfId="23474" xr:uid="{00000000-0005-0000-0000-0000D65C0000}"/>
    <cellStyle name="Note 67 3" xfId="23475" xr:uid="{00000000-0005-0000-0000-0000D75C0000}"/>
    <cellStyle name="Note 67 4" xfId="23476" xr:uid="{00000000-0005-0000-0000-0000D85C0000}"/>
    <cellStyle name="Note 67 5" xfId="23477" xr:uid="{00000000-0005-0000-0000-0000D95C0000}"/>
    <cellStyle name="Note 67 6" xfId="23478" xr:uid="{00000000-0005-0000-0000-0000DA5C0000}"/>
    <cellStyle name="Note 67 7" xfId="23479" xr:uid="{00000000-0005-0000-0000-0000DB5C0000}"/>
    <cellStyle name="Note 67 8" xfId="23480" xr:uid="{00000000-0005-0000-0000-0000DC5C0000}"/>
    <cellStyle name="Note 67 9" xfId="23481" xr:uid="{00000000-0005-0000-0000-0000DD5C0000}"/>
    <cellStyle name="Note 68" xfId="23482" xr:uid="{00000000-0005-0000-0000-0000DE5C0000}"/>
    <cellStyle name="Note 68 2" xfId="23483" xr:uid="{00000000-0005-0000-0000-0000DF5C0000}"/>
    <cellStyle name="Note 68 3" xfId="23484" xr:uid="{00000000-0005-0000-0000-0000E05C0000}"/>
    <cellStyle name="Note 68 4" xfId="23485" xr:uid="{00000000-0005-0000-0000-0000E15C0000}"/>
    <cellStyle name="Note 68 5" xfId="23486" xr:uid="{00000000-0005-0000-0000-0000E25C0000}"/>
    <cellStyle name="Note 68 6" xfId="23487" xr:uid="{00000000-0005-0000-0000-0000E35C0000}"/>
    <cellStyle name="Note 68 7" xfId="23488" xr:uid="{00000000-0005-0000-0000-0000E45C0000}"/>
    <cellStyle name="Note 68 8" xfId="23489" xr:uid="{00000000-0005-0000-0000-0000E55C0000}"/>
    <cellStyle name="Note 68 9" xfId="23490" xr:uid="{00000000-0005-0000-0000-0000E65C0000}"/>
    <cellStyle name="Note 69" xfId="23491" xr:uid="{00000000-0005-0000-0000-0000E75C0000}"/>
    <cellStyle name="Note 69 2" xfId="23492" xr:uid="{00000000-0005-0000-0000-0000E85C0000}"/>
    <cellStyle name="Note 69 3" xfId="23493" xr:uid="{00000000-0005-0000-0000-0000E95C0000}"/>
    <cellStyle name="Note 69 4" xfId="23494" xr:uid="{00000000-0005-0000-0000-0000EA5C0000}"/>
    <cellStyle name="Note 69 5" xfId="23495" xr:uid="{00000000-0005-0000-0000-0000EB5C0000}"/>
    <cellStyle name="Note 69 6" xfId="23496" xr:uid="{00000000-0005-0000-0000-0000EC5C0000}"/>
    <cellStyle name="Note 69 7" xfId="23497" xr:uid="{00000000-0005-0000-0000-0000ED5C0000}"/>
    <cellStyle name="Note 69 8" xfId="23498" xr:uid="{00000000-0005-0000-0000-0000EE5C0000}"/>
    <cellStyle name="Note 69 9" xfId="23499" xr:uid="{00000000-0005-0000-0000-0000EF5C0000}"/>
    <cellStyle name="Note 7" xfId="23500" xr:uid="{00000000-0005-0000-0000-0000F05C0000}"/>
    <cellStyle name="Note 7 10" xfId="23501" xr:uid="{00000000-0005-0000-0000-0000F15C0000}"/>
    <cellStyle name="Note 7 11" xfId="23502" xr:uid="{00000000-0005-0000-0000-0000F25C0000}"/>
    <cellStyle name="Note 7 12" xfId="23503" xr:uid="{00000000-0005-0000-0000-0000F35C0000}"/>
    <cellStyle name="Note 7 13" xfId="23504" xr:uid="{00000000-0005-0000-0000-0000F45C0000}"/>
    <cellStyle name="Note 7 14" xfId="23505" xr:uid="{00000000-0005-0000-0000-0000F55C0000}"/>
    <cellStyle name="Note 7 15" xfId="23506" xr:uid="{00000000-0005-0000-0000-0000F65C0000}"/>
    <cellStyle name="Note 7 16" xfId="23507" xr:uid="{00000000-0005-0000-0000-0000F75C0000}"/>
    <cellStyle name="Note 7 17" xfId="23508" xr:uid="{00000000-0005-0000-0000-0000F85C0000}"/>
    <cellStyle name="Note 7 18" xfId="23509" xr:uid="{00000000-0005-0000-0000-0000F95C0000}"/>
    <cellStyle name="Note 7 19" xfId="23510" xr:uid="{00000000-0005-0000-0000-0000FA5C0000}"/>
    <cellStyle name="Note 7 2" xfId="23511" xr:uid="{00000000-0005-0000-0000-0000FB5C0000}"/>
    <cellStyle name="Note 7 2 2" xfId="23512" xr:uid="{00000000-0005-0000-0000-0000FC5C0000}"/>
    <cellStyle name="Note 7 2 2 2" xfId="23513" xr:uid="{00000000-0005-0000-0000-0000FD5C0000}"/>
    <cellStyle name="Note 7 2 2 3" xfId="23514" xr:uid="{00000000-0005-0000-0000-0000FE5C0000}"/>
    <cellStyle name="Note 7 2 2 4" xfId="23515" xr:uid="{00000000-0005-0000-0000-0000FF5C0000}"/>
    <cellStyle name="Note 7 2 2 5" xfId="23516" xr:uid="{00000000-0005-0000-0000-0000005D0000}"/>
    <cellStyle name="Note 7 2 2 6" xfId="23517" xr:uid="{00000000-0005-0000-0000-0000015D0000}"/>
    <cellStyle name="Note 7 2 2 7" xfId="23518" xr:uid="{00000000-0005-0000-0000-0000025D0000}"/>
    <cellStyle name="Note 7 2 3" xfId="23519" xr:uid="{00000000-0005-0000-0000-0000035D0000}"/>
    <cellStyle name="Note 7 2 4" xfId="23520" xr:uid="{00000000-0005-0000-0000-0000045D0000}"/>
    <cellStyle name="Note 7 2 5" xfId="23521" xr:uid="{00000000-0005-0000-0000-0000055D0000}"/>
    <cellStyle name="Note 7 2 6" xfId="23522" xr:uid="{00000000-0005-0000-0000-0000065D0000}"/>
    <cellStyle name="Note 7 2 7" xfId="23523" xr:uid="{00000000-0005-0000-0000-0000075D0000}"/>
    <cellStyle name="Note 7 20" xfId="23524" xr:uid="{00000000-0005-0000-0000-0000085D0000}"/>
    <cellStyle name="Note 7 21" xfId="23525" xr:uid="{00000000-0005-0000-0000-0000095D0000}"/>
    <cellStyle name="Note 7 22" xfId="23526" xr:uid="{00000000-0005-0000-0000-00000A5D0000}"/>
    <cellStyle name="Note 7 23" xfId="23527" xr:uid="{00000000-0005-0000-0000-00000B5D0000}"/>
    <cellStyle name="Note 7 24" xfId="23528" xr:uid="{00000000-0005-0000-0000-00000C5D0000}"/>
    <cellStyle name="Note 7 25" xfId="23529" xr:uid="{00000000-0005-0000-0000-00000D5D0000}"/>
    <cellStyle name="Note 7 26" xfId="23530" xr:uid="{00000000-0005-0000-0000-00000E5D0000}"/>
    <cellStyle name="Note 7 27" xfId="23531" xr:uid="{00000000-0005-0000-0000-00000F5D0000}"/>
    <cellStyle name="Note 7 28" xfId="23532" xr:uid="{00000000-0005-0000-0000-0000105D0000}"/>
    <cellStyle name="Note 7 29" xfId="23533" xr:uid="{00000000-0005-0000-0000-0000115D0000}"/>
    <cellStyle name="Note 7 3" xfId="23534" xr:uid="{00000000-0005-0000-0000-0000125D0000}"/>
    <cellStyle name="Note 7 3 2" xfId="23535" xr:uid="{00000000-0005-0000-0000-0000135D0000}"/>
    <cellStyle name="Note 7 3 2 2" xfId="23536" xr:uid="{00000000-0005-0000-0000-0000145D0000}"/>
    <cellStyle name="Note 7 3 2 3" xfId="23537" xr:uid="{00000000-0005-0000-0000-0000155D0000}"/>
    <cellStyle name="Note 7 3 2 4" xfId="23538" xr:uid="{00000000-0005-0000-0000-0000165D0000}"/>
    <cellStyle name="Note 7 3 2 5" xfId="23539" xr:uid="{00000000-0005-0000-0000-0000175D0000}"/>
    <cellStyle name="Note 7 3 2 6" xfId="23540" xr:uid="{00000000-0005-0000-0000-0000185D0000}"/>
    <cellStyle name="Note 7 3 2 7" xfId="23541" xr:uid="{00000000-0005-0000-0000-0000195D0000}"/>
    <cellStyle name="Note 7 3 3" xfId="23542" xr:uid="{00000000-0005-0000-0000-00001A5D0000}"/>
    <cellStyle name="Note 7 3 4" xfId="23543" xr:uid="{00000000-0005-0000-0000-00001B5D0000}"/>
    <cellStyle name="Note 7 3 5" xfId="23544" xr:uid="{00000000-0005-0000-0000-00001C5D0000}"/>
    <cellStyle name="Note 7 3 6" xfId="23545" xr:uid="{00000000-0005-0000-0000-00001D5D0000}"/>
    <cellStyle name="Note 7 3 7" xfId="23546" xr:uid="{00000000-0005-0000-0000-00001E5D0000}"/>
    <cellStyle name="Note 7 30" xfId="23547" xr:uid="{00000000-0005-0000-0000-00001F5D0000}"/>
    <cellStyle name="Note 7 31" xfId="23548" xr:uid="{00000000-0005-0000-0000-0000205D0000}"/>
    <cellStyle name="Note 7 32" xfId="23549" xr:uid="{00000000-0005-0000-0000-0000215D0000}"/>
    <cellStyle name="Note 7 33" xfId="23550" xr:uid="{00000000-0005-0000-0000-0000225D0000}"/>
    <cellStyle name="Note 7 34" xfId="23551" xr:uid="{00000000-0005-0000-0000-0000235D0000}"/>
    <cellStyle name="Note 7 35" xfId="23552" xr:uid="{00000000-0005-0000-0000-0000245D0000}"/>
    <cellStyle name="Note 7 36" xfId="23553" xr:uid="{00000000-0005-0000-0000-0000255D0000}"/>
    <cellStyle name="Note 7 37" xfId="23554" xr:uid="{00000000-0005-0000-0000-0000265D0000}"/>
    <cellStyle name="Note 7 38" xfId="23555" xr:uid="{00000000-0005-0000-0000-0000275D0000}"/>
    <cellStyle name="Note 7 39" xfId="23556" xr:uid="{00000000-0005-0000-0000-0000285D0000}"/>
    <cellStyle name="Note 7 4" xfId="23557" xr:uid="{00000000-0005-0000-0000-0000295D0000}"/>
    <cellStyle name="Note 7 4 2" xfId="23558" xr:uid="{00000000-0005-0000-0000-00002A5D0000}"/>
    <cellStyle name="Note 7 4 2 2" xfId="23559" xr:uid="{00000000-0005-0000-0000-00002B5D0000}"/>
    <cellStyle name="Note 7 4 2 3" xfId="23560" xr:uid="{00000000-0005-0000-0000-00002C5D0000}"/>
    <cellStyle name="Note 7 4 2 4" xfId="23561" xr:uid="{00000000-0005-0000-0000-00002D5D0000}"/>
    <cellStyle name="Note 7 4 2 5" xfId="23562" xr:uid="{00000000-0005-0000-0000-00002E5D0000}"/>
    <cellStyle name="Note 7 4 2 6" xfId="23563" xr:uid="{00000000-0005-0000-0000-00002F5D0000}"/>
    <cellStyle name="Note 7 4 2 7" xfId="23564" xr:uid="{00000000-0005-0000-0000-0000305D0000}"/>
    <cellStyle name="Note 7 4 3" xfId="23565" xr:uid="{00000000-0005-0000-0000-0000315D0000}"/>
    <cellStyle name="Note 7 4 4" xfId="23566" xr:uid="{00000000-0005-0000-0000-0000325D0000}"/>
    <cellStyle name="Note 7 4 5" xfId="23567" xr:uid="{00000000-0005-0000-0000-0000335D0000}"/>
    <cellStyle name="Note 7 4 6" xfId="23568" xr:uid="{00000000-0005-0000-0000-0000345D0000}"/>
    <cellStyle name="Note 7 4 7" xfId="23569" xr:uid="{00000000-0005-0000-0000-0000355D0000}"/>
    <cellStyle name="Note 7 40" xfId="23570" xr:uid="{00000000-0005-0000-0000-0000365D0000}"/>
    <cellStyle name="Note 7 41" xfId="23571" xr:uid="{00000000-0005-0000-0000-0000375D0000}"/>
    <cellStyle name="Note 7 42" xfId="23572" xr:uid="{00000000-0005-0000-0000-0000385D0000}"/>
    <cellStyle name="Note 7 43" xfId="23573" xr:uid="{00000000-0005-0000-0000-0000395D0000}"/>
    <cellStyle name="Note 7 44" xfId="23574" xr:uid="{00000000-0005-0000-0000-00003A5D0000}"/>
    <cellStyle name="Note 7 45" xfId="23575" xr:uid="{00000000-0005-0000-0000-00003B5D0000}"/>
    <cellStyle name="Note 7 46" xfId="23576" xr:uid="{00000000-0005-0000-0000-00003C5D0000}"/>
    <cellStyle name="Note 7 47" xfId="23577" xr:uid="{00000000-0005-0000-0000-00003D5D0000}"/>
    <cellStyle name="Note 7 48" xfId="23578" xr:uid="{00000000-0005-0000-0000-00003E5D0000}"/>
    <cellStyle name="Note 7 5" xfId="23579" xr:uid="{00000000-0005-0000-0000-00003F5D0000}"/>
    <cellStyle name="Note 7 5 2" xfId="23580" xr:uid="{00000000-0005-0000-0000-0000405D0000}"/>
    <cellStyle name="Note 7 5 2 2" xfId="23581" xr:uid="{00000000-0005-0000-0000-0000415D0000}"/>
    <cellStyle name="Note 7 5 2 3" xfId="23582" xr:uid="{00000000-0005-0000-0000-0000425D0000}"/>
    <cellStyle name="Note 7 5 2 4" xfId="23583" xr:uid="{00000000-0005-0000-0000-0000435D0000}"/>
    <cellStyle name="Note 7 5 2 5" xfId="23584" xr:uid="{00000000-0005-0000-0000-0000445D0000}"/>
    <cellStyle name="Note 7 5 2 6" xfId="23585" xr:uid="{00000000-0005-0000-0000-0000455D0000}"/>
    <cellStyle name="Note 7 5 2 7" xfId="23586" xr:uid="{00000000-0005-0000-0000-0000465D0000}"/>
    <cellStyle name="Note 7 5 3" xfId="23587" xr:uid="{00000000-0005-0000-0000-0000475D0000}"/>
    <cellStyle name="Note 7 5 4" xfId="23588" xr:uid="{00000000-0005-0000-0000-0000485D0000}"/>
    <cellStyle name="Note 7 5 5" xfId="23589" xr:uid="{00000000-0005-0000-0000-0000495D0000}"/>
    <cellStyle name="Note 7 5 6" xfId="23590" xr:uid="{00000000-0005-0000-0000-00004A5D0000}"/>
    <cellStyle name="Note 7 5 7" xfId="23591" xr:uid="{00000000-0005-0000-0000-00004B5D0000}"/>
    <cellStyle name="Note 7 6" xfId="23592" xr:uid="{00000000-0005-0000-0000-00004C5D0000}"/>
    <cellStyle name="Note 7 6 2" xfId="23593" xr:uid="{00000000-0005-0000-0000-00004D5D0000}"/>
    <cellStyle name="Note 7 6 2 2" xfId="23594" xr:uid="{00000000-0005-0000-0000-00004E5D0000}"/>
    <cellStyle name="Note 7 6 2 3" xfId="23595" xr:uid="{00000000-0005-0000-0000-00004F5D0000}"/>
    <cellStyle name="Note 7 6 2 4" xfId="23596" xr:uid="{00000000-0005-0000-0000-0000505D0000}"/>
    <cellStyle name="Note 7 6 2 5" xfId="23597" xr:uid="{00000000-0005-0000-0000-0000515D0000}"/>
    <cellStyle name="Note 7 6 2 6" xfId="23598" xr:uid="{00000000-0005-0000-0000-0000525D0000}"/>
    <cellStyle name="Note 7 6 2 7" xfId="23599" xr:uid="{00000000-0005-0000-0000-0000535D0000}"/>
    <cellStyle name="Note 7 6 3" xfId="23600" xr:uid="{00000000-0005-0000-0000-0000545D0000}"/>
    <cellStyle name="Note 7 6 4" xfId="23601" xr:uid="{00000000-0005-0000-0000-0000555D0000}"/>
    <cellStyle name="Note 7 6 5" xfId="23602" xr:uid="{00000000-0005-0000-0000-0000565D0000}"/>
    <cellStyle name="Note 7 6 6" xfId="23603" xr:uid="{00000000-0005-0000-0000-0000575D0000}"/>
    <cellStyle name="Note 7 6 7" xfId="23604" xr:uid="{00000000-0005-0000-0000-0000585D0000}"/>
    <cellStyle name="Note 7 7" xfId="23605" xr:uid="{00000000-0005-0000-0000-0000595D0000}"/>
    <cellStyle name="Note 7 7 2" xfId="23606" xr:uid="{00000000-0005-0000-0000-00005A5D0000}"/>
    <cellStyle name="Note 7 7 2 2" xfId="23607" xr:uid="{00000000-0005-0000-0000-00005B5D0000}"/>
    <cellStyle name="Note 7 7 2 3" xfId="23608" xr:uid="{00000000-0005-0000-0000-00005C5D0000}"/>
    <cellStyle name="Note 7 7 2 4" xfId="23609" xr:uid="{00000000-0005-0000-0000-00005D5D0000}"/>
    <cellStyle name="Note 7 7 2 5" xfId="23610" xr:uid="{00000000-0005-0000-0000-00005E5D0000}"/>
    <cellStyle name="Note 7 7 2 6" xfId="23611" xr:uid="{00000000-0005-0000-0000-00005F5D0000}"/>
    <cellStyle name="Note 7 7 2 7" xfId="23612" xr:uid="{00000000-0005-0000-0000-0000605D0000}"/>
    <cellStyle name="Note 7 7 3" xfId="23613" xr:uid="{00000000-0005-0000-0000-0000615D0000}"/>
    <cellStyle name="Note 7 7 4" xfId="23614" xr:uid="{00000000-0005-0000-0000-0000625D0000}"/>
    <cellStyle name="Note 7 7 5" xfId="23615" xr:uid="{00000000-0005-0000-0000-0000635D0000}"/>
    <cellStyle name="Note 7 7 6" xfId="23616" xr:uid="{00000000-0005-0000-0000-0000645D0000}"/>
    <cellStyle name="Note 7 7 7" xfId="23617" xr:uid="{00000000-0005-0000-0000-0000655D0000}"/>
    <cellStyle name="Note 7 8" xfId="23618" xr:uid="{00000000-0005-0000-0000-0000665D0000}"/>
    <cellStyle name="Note 7 8 2" xfId="23619" xr:uid="{00000000-0005-0000-0000-0000675D0000}"/>
    <cellStyle name="Note 7 9" xfId="23620" xr:uid="{00000000-0005-0000-0000-0000685D0000}"/>
    <cellStyle name="Note 7 9 2" xfId="23621" xr:uid="{00000000-0005-0000-0000-0000695D0000}"/>
    <cellStyle name="Note 70" xfId="23622" xr:uid="{00000000-0005-0000-0000-00006A5D0000}"/>
    <cellStyle name="Note 70 2" xfId="23623" xr:uid="{00000000-0005-0000-0000-00006B5D0000}"/>
    <cellStyle name="Note 70 3" xfId="23624" xr:uid="{00000000-0005-0000-0000-00006C5D0000}"/>
    <cellStyle name="Note 70 4" xfId="23625" xr:uid="{00000000-0005-0000-0000-00006D5D0000}"/>
    <cellStyle name="Note 70 5" xfId="23626" xr:uid="{00000000-0005-0000-0000-00006E5D0000}"/>
    <cellStyle name="Note 70 6" xfId="23627" xr:uid="{00000000-0005-0000-0000-00006F5D0000}"/>
    <cellStyle name="Note 70 7" xfId="23628" xr:uid="{00000000-0005-0000-0000-0000705D0000}"/>
    <cellStyle name="Note 70 8" xfId="23629" xr:uid="{00000000-0005-0000-0000-0000715D0000}"/>
    <cellStyle name="Note 70 9" xfId="23630" xr:uid="{00000000-0005-0000-0000-0000725D0000}"/>
    <cellStyle name="Note 71" xfId="23631" xr:uid="{00000000-0005-0000-0000-0000735D0000}"/>
    <cellStyle name="Note 71 2" xfId="23632" xr:uid="{00000000-0005-0000-0000-0000745D0000}"/>
    <cellStyle name="Note 71 3" xfId="23633" xr:uid="{00000000-0005-0000-0000-0000755D0000}"/>
    <cellStyle name="Note 71 4" xfId="23634" xr:uid="{00000000-0005-0000-0000-0000765D0000}"/>
    <cellStyle name="Note 71 5" xfId="23635" xr:uid="{00000000-0005-0000-0000-0000775D0000}"/>
    <cellStyle name="Note 71 6" xfId="23636" xr:uid="{00000000-0005-0000-0000-0000785D0000}"/>
    <cellStyle name="Note 71 7" xfId="23637" xr:uid="{00000000-0005-0000-0000-0000795D0000}"/>
    <cellStyle name="Note 71 8" xfId="23638" xr:uid="{00000000-0005-0000-0000-00007A5D0000}"/>
    <cellStyle name="Note 71 9" xfId="23639" xr:uid="{00000000-0005-0000-0000-00007B5D0000}"/>
    <cellStyle name="Note 72" xfId="23640" xr:uid="{00000000-0005-0000-0000-00007C5D0000}"/>
    <cellStyle name="Note 8" xfId="23641" xr:uid="{00000000-0005-0000-0000-00007D5D0000}"/>
    <cellStyle name="Note 8 10" xfId="23642" xr:uid="{00000000-0005-0000-0000-00007E5D0000}"/>
    <cellStyle name="Note 8 11" xfId="23643" xr:uid="{00000000-0005-0000-0000-00007F5D0000}"/>
    <cellStyle name="Note 8 12" xfId="23644" xr:uid="{00000000-0005-0000-0000-0000805D0000}"/>
    <cellStyle name="Note 8 13" xfId="23645" xr:uid="{00000000-0005-0000-0000-0000815D0000}"/>
    <cellStyle name="Note 8 14" xfId="23646" xr:uid="{00000000-0005-0000-0000-0000825D0000}"/>
    <cellStyle name="Note 8 15" xfId="23647" xr:uid="{00000000-0005-0000-0000-0000835D0000}"/>
    <cellStyle name="Note 8 16" xfId="23648" xr:uid="{00000000-0005-0000-0000-0000845D0000}"/>
    <cellStyle name="Note 8 17" xfId="23649" xr:uid="{00000000-0005-0000-0000-0000855D0000}"/>
    <cellStyle name="Note 8 18" xfId="23650" xr:uid="{00000000-0005-0000-0000-0000865D0000}"/>
    <cellStyle name="Note 8 19" xfId="23651" xr:uid="{00000000-0005-0000-0000-0000875D0000}"/>
    <cellStyle name="Note 8 2" xfId="23652" xr:uid="{00000000-0005-0000-0000-0000885D0000}"/>
    <cellStyle name="Note 8 2 2" xfId="23653" xr:uid="{00000000-0005-0000-0000-0000895D0000}"/>
    <cellStyle name="Note 8 2 2 2" xfId="23654" xr:uid="{00000000-0005-0000-0000-00008A5D0000}"/>
    <cellStyle name="Note 8 2 2 3" xfId="23655" xr:uid="{00000000-0005-0000-0000-00008B5D0000}"/>
    <cellStyle name="Note 8 2 2 4" xfId="23656" xr:uid="{00000000-0005-0000-0000-00008C5D0000}"/>
    <cellStyle name="Note 8 2 2 5" xfId="23657" xr:uid="{00000000-0005-0000-0000-00008D5D0000}"/>
    <cellStyle name="Note 8 2 2 6" xfId="23658" xr:uid="{00000000-0005-0000-0000-00008E5D0000}"/>
    <cellStyle name="Note 8 2 2 7" xfId="23659" xr:uid="{00000000-0005-0000-0000-00008F5D0000}"/>
    <cellStyle name="Note 8 2 3" xfId="23660" xr:uid="{00000000-0005-0000-0000-0000905D0000}"/>
    <cellStyle name="Note 8 2 4" xfId="23661" xr:uid="{00000000-0005-0000-0000-0000915D0000}"/>
    <cellStyle name="Note 8 2 5" xfId="23662" xr:uid="{00000000-0005-0000-0000-0000925D0000}"/>
    <cellStyle name="Note 8 2 6" xfId="23663" xr:uid="{00000000-0005-0000-0000-0000935D0000}"/>
    <cellStyle name="Note 8 2 7" xfId="23664" xr:uid="{00000000-0005-0000-0000-0000945D0000}"/>
    <cellStyle name="Note 8 20" xfId="23665" xr:uid="{00000000-0005-0000-0000-0000955D0000}"/>
    <cellStyle name="Note 8 21" xfId="23666" xr:uid="{00000000-0005-0000-0000-0000965D0000}"/>
    <cellStyle name="Note 8 22" xfId="23667" xr:uid="{00000000-0005-0000-0000-0000975D0000}"/>
    <cellStyle name="Note 8 23" xfId="23668" xr:uid="{00000000-0005-0000-0000-0000985D0000}"/>
    <cellStyle name="Note 8 24" xfId="23669" xr:uid="{00000000-0005-0000-0000-0000995D0000}"/>
    <cellStyle name="Note 8 25" xfId="23670" xr:uid="{00000000-0005-0000-0000-00009A5D0000}"/>
    <cellStyle name="Note 8 26" xfId="23671" xr:uid="{00000000-0005-0000-0000-00009B5D0000}"/>
    <cellStyle name="Note 8 27" xfId="23672" xr:uid="{00000000-0005-0000-0000-00009C5D0000}"/>
    <cellStyle name="Note 8 28" xfId="23673" xr:uid="{00000000-0005-0000-0000-00009D5D0000}"/>
    <cellStyle name="Note 8 29" xfId="23674" xr:uid="{00000000-0005-0000-0000-00009E5D0000}"/>
    <cellStyle name="Note 8 3" xfId="23675" xr:uid="{00000000-0005-0000-0000-00009F5D0000}"/>
    <cellStyle name="Note 8 3 2" xfId="23676" xr:uid="{00000000-0005-0000-0000-0000A05D0000}"/>
    <cellStyle name="Note 8 3 2 2" xfId="23677" xr:uid="{00000000-0005-0000-0000-0000A15D0000}"/>
    <cellStyle name="Note 8 3 2 3" xfId="23678" xr:uid="{00000000-0005-0000-0000-0000A25D0000}"/>
    <cellStyle name="Note 8 3 2 4" xfId="23679" xr:uid="{00000000-0005-0000-0000-0000A35D0000}"/>
    <cellStyle name="Note 8 3 2 5" xfId="23680" xr:uid="{00000000-0005-0000-0000-0000A45D0000}"/>
    <cellStyle name="Note 8 3 2 6" xfId="23681" xr:uid="{00000000-0005-0000-0000-0000A55D0000}"/>
    <cellStyle name="Note 8 3 2 7" xfId="23682" xr:uid="{00000000-0005-0000-0000-0000A65D0000}"/>
    <cellStyle name="Note 8 3 3" xfId="23683" xr:uid="{00000000-0005-0000-0000-0000A75D0000}"/>
    <cellStyle name="Note 8 3 4" xfId="23684" xr:uid="{00000000-0005-0000-0000-0000A85D0000}"/>
    <cellStyle name="Note 8 3 5" xfId="23685" xr:uid="{00000000-0005-0000-0000-0000A95D0000}"/>
    <cellStyle name="Note 8 3 6" xfId="23686" xr:uid="{00000000-0005-0000-0000-0000AA5D0000}"/>
    <cellStyle name="Note 8 3 7" xfId="23687" xr:uid="{00000000-0005-0000-0000-0000AB5D0000}"/>
    <cellStyle name="Note 8 30" xfId="23688" xr:uid="{00000000-0005-0000-0000-0000AC5D0000}"/>
    <cellStyle name="Note 8 31" xfId="23689" xr:uid="{00000000-0005-0000-0000-0000AD5D0000}"/>
    <cellStyle name="Note 8 32" xfId="23690" xr:uid="{00000000-0005-0000-0000-0000AE5D0000}"/>
    <cellStyle name="Note 8 33" xfId="23691" xr:uid="{00000000-0005-0000-0000-0000AF5D0000}"/>
    <cellStyle name="Note 8 34" xfId="23692" xr:uid="{00000000-0005-0000-0000-0000B05D0000}"/>
    <cellStyle name="Note 8 35" xfId="23693" xr:uid="{00000000-0005-0000-0000-0000B15D0000}"/>
    <cellStyle name="Note 8 36" xfId="23694" xr:uid="{00000000-0005-0000-0000-0000B25D0000}"/>
    <cellStyle name="Note 8 37" xfId="23695" xr:uid="{00000000-0005-0000-0000-0000B35D0000}"/>
    <cellStyle name="Note 8 38" xfId="23696" xr:uid="{00000000-0005-0000-0000-0000B45D0000}"/>
    <cellStyle name="Note 8 39" xfId="23697" xr:uid="{00000000-0005-0000-0000-0000B55D0000}"/>
    <cellStyle name="Note 8 4" xfId="23698" xr:uid="{00000000-0005-0000-0000-0000B65D0000}"/>
    <cellStyle name="Note 8 4 2" xfId="23699" xr:uid="{00000000-0005-0000-0000-0000B75D0000}"/>
    <cellStyle name="Note 8 4 2 2" xfId="23700" xr:uid="{00000000-0005-0000-0000-0000B85D0000}"/>
    <cellStyle name="Note 8 4 2 3" xfId="23701" xr:uid="{00000000-0005-0000-0000-0000B95D0000}"/>
    <cellStyle name="Note 8 4 2 4" xfId="23702" xr:uid="{00000000-0005-0000-0000-0000BA5D0000}"/>
    <cellStyle name="Note 8 4 2 5" xfId="23703" xr:uid="{00000000-0005-0000-0000-0000BB5D0000}"/>
    <cellStyle name="Note 8 4 2 6" xfId="23704" xr:uid="{00000000-0005-0000-0000-0000BC5D0000}"/>
    <cellStyle name="Note 8 4 2 7" xfId="23705" xr:uid="{00000000-0005-0000-0000-0000BD5D0000}"/>
    <cellStyle name="Note 8 4 3" xfId="23706" xr:uid="{00000000-0005-0000-0000-0000BE5D0000}"/>
    <cellStyle name="Note 8 4 4" xfId="23707" xr:uid="{00000000-0005-0000-0000-0000BF5D0000}"/>
    <cellStyle name="Note 8 4 5" xfId="23708" xr:uid="{00000000-0005-0000-0000-0000C05D0000}"/>
    <cellStyle name="Note 8 4 6" xfId="23709" xr:uid="{00000000-0005-0000-0000-0000C15D0000}"/>
    <cellStyle name="Note 8 4 7" xfId="23710" xr:uid="{00000000-0005-0000-0000-0000C25D0000}"/>
    <cellStyle name="Note 8 40" xfId="23711" xr:uid="{00000000-0005-0000-0000-0000C35D0000}"/>
    <cellStyle name="Note 8 41" xfId="23712" xr:uid="{00000000-0005-0000-0000-0000C45D0000}"/>
    <cellStyle name="Note 8 42" xfId="23713" xr:uid="{00000000-0005-0000-0000-0000C55D0000}"/>
    <cellStyle name="Note 8 43" xfId="23714" xr:uid="{00000000-0005-0000-0000-0000C65D0000}"/>
    <cellStyle name="Note 8 44" xfId="23715" xr:uid="{00000000-0005-0000-0000-0000C75D0000}"/>
    <cellStyle name="Note 8 45" xfId="23716" xr:uid="{00000000-0005-0000-0000-0000C85D0000}"/>
    <cellStyle name="Note 8 46" xfId="23717" xr:uid="{00000000-0005-0000-0000-0000C95D0000}"/>
    <cellStyle name="Note 8 47" xfId="23718" xr:uid="{00000000-0005-0000-0000-0000CA5D0000}"/>
    <cellStyle name="Note 8 48" xfId="23719" xr:uid="{00000000-0005-0000-0000-0000CB5D0000}"/>
    <cellStyle name="Note 8 5" xfId="23720" xr:uid="{00000000-0005-0000-0000-0000CC5D0000}"/>
    <cellStyle name="Note 8 5 2" xfId="23721" xr:uid="{00000000-0005-0000-0000-0000CD5D0000}"/>
    <cellStyle name="Note 8 5 2 2" xfId="23722" xr:uid="{00000000-0005-0000-0000-0000CE5D0000}"/>
    <cellStyle name="Note 8 5 2 3" xfId="23723" xr:uid="{00000000-0005-0000-0000-0000CF5D0000}"/>
    <cellStyle name="Note 8 5 2 4" xfId="23724" xr:uid="{00000000-0005-0000-0000-0000D05D0000}"/>
    <cellStyle name="Note 8 5 2 5" xfId="23725" xr:uid="{00000000-0005-0000-0000-0000D15D0000}"/>
    <cellStyle name="Note 8 5 2 6" xfId="23726" xr:uid="{00000000-0005-0000-0000-0000D25D0000}"/>
    <cellStyle name="Note 8 5 2 7" xfId="23727" xr:uid="{00000000-0005-0000-0000-0000D35D0000}"/>
    <cellStyle name="Note 8 5 3" xfId="23728" xr:uid="{00000000-0005-0000-0000-0000D45D0000}"/>
    <cellStyle name="Note 8 5 4" xfId="23729" xr:uid="{00000000-0005-0000-0000-0000D55D0000}"/>
    <cellStyle name="Note 8 5 5" xfId="23730" xr:uid="{00000000-0005-0000-0000-0000D65D0000}"/>
    <cellStyle name="Note 8 5 6" xfId="23731" xr:uid="{00000000-0005-0000-0000-0000D75D0000}"/>
    <cellStyle name="Note 8 5 7" xfId="23732" xr:uid="{00000000-0005-0000-0000-0000D85D0000}"/>
    <cellStyle name="Note 8 6" xfId="23733" xr:uid="{00000000-0005-0000-0000-0000D95D0000}"/>
    <cellStyle name="Note 8 6 2" xfId="23734" xr:uid="{00000000-0005-0000-0000-0000DA5D0000}"/>
    <cellStyle name="Note 8 6 2 2" xfId="23735" xr:uid="{00000000-0005-0000-0000-0000DB5D0000}"/>
    <cellStyle name="Note 8 6 2 3" xfId="23736" xr:uid="{00000000-0005-0000-0000-0000DC5D0000}"/>
    <cellStyle name="Note 8 6 2 4" xfId="23737" xr:uid="{00000000-0005-0000-0000-0000DD5D0000}"/>
    <cellStyle name="Note 8 6 2 5" xfId="23738" xr:uid="{00000000-0005-0000-0000-0000DE5D0000}"/>
    <cellStyle name="Note 8 6 2 6" xfId="23739" xr:uid="{00000000-0005-0000-0000-0000DF5D0000}"/>
    <cellStyle name="Note 8 6 2 7" xfId="23740" xr:uid="{00000000-0005-0000-0000-0000E05D0000}"/>
    <cellStyle name="Note 8 6 3" xfId="23741" xr:uid="{00000000-0005-0000-0000-0000E15D0000}"/>
    <cellStyle name="Note 8 6 4" xfId="23742" xr:uid="{00000000-0005-0000-0000-0000E25D0000}"/>
    <cellStyle name="Note 8 6 5" xfId="23743" xr:uid="{00000000-0005-0000-0000-0000E35D0000}"/>
    <cellStyle name="Note 8 6 6" xfId="23744" xr:uid="{00000000-0005-0000-0000-0000E45D0000}"/>
    <cellStyle name="Note 8 6 7" xfId="23745" xr:uid="{00000000-0005-0000-0000-0000E55D0000}"/>
    <cellStyle name="Note 8 7" xfId="23746" xr:uid="{00000000-0005-0000-0000-0000E65D0000}"/>
    <cellStyle name="Note 8 7 2" xfId="23747" xr:uid="{00000000-0005-0000-0000-0000E75D0000}"/>
    <cellStyle name="Note 8 7 2 2" xfId="23748" xr:uid="{00000000-0005-0000-0000-0000E85D0000}"/>
    <cellStyle name="Note 8 7 2 3" xfId="23749" xr:uid="{00000000-0005-0000-0000-0000E95D0000}"/>
    <cellStyle name="Note 8 7 2 4" xfId="23750" xr:uid="{00000000-0005-0000-0000-0000EA5D0000}"/>
    <cellStyle name="Note 8 7 2 5" xfId="23751" xr:uid="{00000000-0005-0000-0000-0000EB5D0000}"/>
    <cellStyle name="Note 8 7 2 6" xfId="23752" xr:uid="{00000000-0005-0000-0000-0000EC5D0000}"/>
    <cellStyle name="Note 8 7 2 7" xfId="23753" xr:uid="{00000000-0005-0000-0000-0000ED5D0000}"/>
    <cellStyle name="Note 8 7 3" xfId="23754" xr:uid="{00000000-0005-0000-0000-0000EE5D0000}"/>
    <cellStyle name="Note 8 7 4" xfId="23755" xr:uid="{00000000-0005-0000-0000-0000EF5D0000}"/>
    <cellStyle name="Note 8 7 5" xfId="23756" xr:uid="{00000000-0005-0000-0000-0000F05D0000}"/>
    <cellStyle name="Note 8 7 6" xfId="23757" xr:uid="{00000000-0005-0000-0000-0000F15D0000}"/>
    <cellStyle name="Note 8 7 7" xfId="23758" xr:uid="{00000000-0005-0000-0000-0000F25D0000}"/>
    <cellStyle name="Note 8 8" xfId="23759" xr:uid="{00000000-0005-0000-0000-0000F35D0000}"/>
    <cellStyle name="Note 8 8 2" xfId="23760" xr:uid="{00000000-0005-0000-0000-0000F45D0000}"/>
    <cellStyle name="Note 8 9" xfId="23761" xr:uid="{00000000-0005-0000-0000-0000F55D0000}"/>
    <cellStyle name="Note 8 9 2" xfId="23762" xr:uid="{00000000-0005-0000-0000-0000F65D0000}"/>
    <cellStyle name="Note 9" xfId="23763" xr:uid="{00000000-0005-0000-0000-0000F75D0000}"/>
    <cellStyle name="Note 9 10" xfId="23764" xr:uid="{00000000-0005-0000-0000-0000F85D0000}"/>
    <cellStyle name="Note 9 11" xfId="23765" xr:uid="{00000000-0005-0000-0000-0000F95D0000}"/>
    <cellStyle name="Note 9 12" xfId="23766" xr:uid="{00000000-0005-0000-0000-0000FA5D0000}"/>
    <cellStyle name="Note 9 13" xfId="23767" xr:uid="{00000000-0005-0000-0000-0000FB5D0000}"/>
    <cellStyle name="Note 9 14" xfId="23768" xr:uid="{00000000-0005-0000-0000-0000FC5D0000}"/>
    <cellStyle name="Note 9 15" xfId="23769" xr:uid="{00000000-0005-0000-0000-0000FD5D0000}"/>
    <cellStyle name="Note 9 16" xfId="23770" xr:uid="{00000000-0005-0000-0000-0000FE5D0000}"/>
    <cellStyle name="Note 9 17" xfId="23771" xr:uid="{00000000-0005-0000-0000-0000FF5D0000}"/>
    <cellStyle name="Note 9 18" xfId="23772" xr:uid="{00000000-0005-0000-0000-0000005E0000}"/>
    <cellStyle name="Note 9 19" xfId="23773" xr:uid="{00000000-0005-0000-0000-0000015E0000}"/>
    <cellStyle name="Note 9 2" xfId="23774" xr:uid="{00000000-0005-0000-0000-0000025E0000}"/>
    <cellStyle name="Note 9 2 2" xfId="23775" xr:uid="{00000000-0005-0000-0000-0000035E0000}"/>
    <cellStyle name="Note 9 20" xfId="23776" xr:uid="{00000000-0005-0000-0000-0000045E0000}"/>
    <cellStyle name="Note 9 21" xfId="23777" xr:uid="{00000000-0005-0000-0000-0000055E0000}"/>
    <cellStyle name="Note 9 22" xfId="23778" xr:uid="{00000000-0005-0000-0000-0000065E0000}"/>
    <cellStyle name="Note 9 23" xfId="23779" xr:uid="{00000000-0005-0000-0000-0000075E0000}"/>
    <cellStyle name="Note 9 24" xfId="23780" xr:uid="{00000000-0005-0000-0000-0000085E0000}"/>
    <cellStyle name="Note 9 25" xfId="23781" xr:uid="{00000000-0005-0000-0000-0000095E0000}"/>
    <cellStyle name="Note 9 26" xfId="23782" xr:uid="{00000000-0005-0000-0000-00000A5E0000}"/>
    <cellStyle name="Note 9 27" xfId="23783" xr:uid="{00000000-0005-0000-0000-00000B5E0000}"/>
    <cellStyle name="Note 9 28" xfId="23784" xr:uid="{00000000-0005-0000-0000-00000C5E0000}"/>
    <cellStyle name="Note 9 29" xfId="23785" xr:uid="{00000000-0005-0000-0000-00000D5E0000}"/>
    <cellStyle name="Note 9 3" xfId="23786" xr:uid="{00000000-0005-0000-0000-00000E5E0000}"/>
    <cellStyle name="Note 9 3 2" xfId="23787" xr:uid="{00000000-0005-0000-0000-00000F5E0000}"/>
    <cellStyle name="Note 9 30" xfId="23788" xr:uid="{00000000-0005-0000-0000-0000105E0000}"/>
    <cellStyle name="Note 9 31" xfId="23789" xr:uid="{00000000-0005-0000-0000-0000115E0000}"/>
    <cellStyle name="Note 9 32" xfId="23790" xr:uid="{00000000-0005-0000-0000-0000125E0000}"/>
    <cellStyle name="Note 9 33" xfId="23791" xr:uid="{00000000-0005-0000-0000-0000135E0000}"/>
    <cellStyle name="Note 9 34" xfId="23792" xr:uid="{00000000-0005-0000-0000-0000145E0000}"/>
    <cellStyle name="Note 9 35" xfId="23793" xr:uid="{00000000-0005-0000-0000-0000155E0000}"/>
    <cellStyle name="Note 9 36" xfId="23794" xr:uid="{00000000-0005-0000-0000-0000165E0000}"/>
    <cellStyle name="Note 9 37" xfId="23795" xr:uid="{00000000-0005-0000-0000-0000175E0000}"/>
    <cellStyle name="Note 9 38" xfId="23796" xr:uid="{00000000-0005-0000-0000-0000185E0000}"/>
    <cellStyle name="Note 9 39" xfId="23797" xr:uid="{00000000-0005-0000-0000-0000195E0000}"/>
    <cellStyle name="Note 9 4" xfId="23798" xr:uid="{00000000-0005-0000-0000-00001A5E0000}"/>
    <cellStyle name="Note 9 4 2" xfId="23799" xr:uid="{00000000-0005-0000-0000-00001B5E0000}"/>
    <cellStyle name="Note 9 40" xfId="23800" xr:uid="{00000000-0005-0000-0000-00001C5E0000}"/>
    <cellStyle name="Note 9 41" xfId="23801" xr:uid="{00000000-0005-0000-0000-00001D5E0000}"/>
    <cellStyle name="Note 9 42" xfId="23802" xr:uid="{00000000-0005-0000-0000-00001E5E0000}"/>
    <cellStyle name="Note 9 43" xfId="23803" xr:uid="{00000000-0005-0000-0000-00001F5E0000}"/>
    <cellStyle name="Note 9 44" xfId="23804" xr:uid="{00000000-0005-0000-0000-0000205E0000}"/>
    <cellStyle name="Note 9 45" xfId="23805" xr:uid="{00000000-0005-0000-0000-0000215E0000}"/>
    <cellStyle name="Note 9 46" xfId="23806" xr:uid="{00000000-0005-0000-0000-0000225E0000}"/>
    <cellStyle name="Note 9 47" xfId="23807" xr:uid="{00000000-0005-0000-0000-0000235E0000}"/>
    <cellStyle name="Note 9 48" xfId="23808" xr:uid="{00000000-0005-0000-0000-0000245E0000}"/>
    <cellStyle name="Note 9 5" xfId="23809" xr:uid="{00000000-0005-0000-0000-0000255E0000}"/>
    <cellStyle name="Note 9 5 2" xfId="23810" xr:uid="{00000000-0005-0000-0000-0000265E0000}"/>
    <cellStyle name="Note 9 6" xfId="23811" xr:uid="{00000000-0005-0000-0000-0000275E0000}"/>
    <cellStyle name="Note 9 6 2" xfId="23812" xr:uid="{00000000-0005-0000-0000-0000285E0000}"/>
    <cellStyle name="Note 9 7" xfId="23813" xr:uid="{00000000-0005-0000-0000-0000295E0000}"/>
    <cellStyle name="Note 9 7 2" xfId="23814" xr:uid="{00000000-0005-0000-0000-00002A5E0000}"/>
    <cellStyle name="Note 9 8" xfId="23815" xr:uid="{00000000-0005-0000-0000-00002B5E0000}"/>
    <cellStyle name="Note 9 8 2" xfId="23816" xr:uid="{00000000-0005-0000-0000-00002C5E0000}"/>
    <cellStyle name="Note 9 9" xfId="23817" xr:uid="{00000000-0005-0000-0000-00002D5E0000}"/>
    <cellStyle name="Note 9 9 2" xfId="23818" xr:uid="{00000000-0005-0000-0000-00002E5E0000}"/>
    <cellStyle name="Output" xfId="30293" builtinId="21" customBuiltin="1"/>
    <cellStyle name="Output 10" xfId="23819" xr:uid="{00000000-0005-0000-0000-0000305E0000}"/>
    <cellStyle name="Output 10 10" xfId="23820" xr:uid="{00000000-0005-0000-0000-0000315E0000}"/>
    <cellStyle name="Output 10 11" xfId="23821" xr:uid="{00000000-0005-0000-0000-0000325E0000}"/>
    <cellStyle name="Output 10 12" xfId="23822" xr:uid="{00000000-0005-0000-0000-0000335E0000}"/>
    <cellStyle name="Output 10 13" xfId="23823" xr:uid="{00000000-0005-0000-0000-0000345E0000}"/>
    <cellStyle name="Output 10 14" xfId="23824" xr:uid="{00000000-0005-0000-0000-0000355E0000}"/>
    <cellStyle name="Output 10 15" xfId="23825" xr:uid="{00000000-0005-0000-0000-0000365E0000}"/>
    <cellStyle name="Output 10 2" xfId="23826" xr:uid="{00000000-0005-0000-0000-0000375E0000}"/>
    <cellStyle name="Output 10 2 2" xfId="23827" xr:uid="{00000000-0005-0000-0000-0000385E0000}"/>
    <cellStyle name="Output 10 2 3" xfId="23828" xr:uid="{00000000-0005-0000-0000-0000395E0000}"/>
    <cellStyle name="Output 10 2 4" xfId="23829" xr:uid="{00000000-0005-0000-0000-00003A5E0000}"/>
    <cellStyle name="Output 10 2 5" xfId="23830" xr:uid="{00000000-0005-0000-0000-00003B5E0000}"/>
    <cellStyle name="Output 10 2 6" xfId="23831" xr:uid="{00000000-0005-0000-0000-00003C5E0000}"/>
    <cellStyle name="Output 10 2 7" xfId="23832" xr:uid="{00000000-0005-0000-0000-00003D5E0000}"/>
    <cellStyle name="Output 10 3" xfId="23833" xr:uid="{00000000-0005-0000-0000-00003E5E0000}"/>
    <cellStyle name="Output 10 4" xfId="23834" xr:uid="{00000000-0005-0000-0000-00003F5E0000}"/>
    <cellStyle name="Output 10 5" xfId="23835" xr:uid="{00000000-0005-0000-0000-0000405E0000}"/>
    <cellStyle name="Output 10 6" xfId="23836" xr:uid="{00000000-0005-0000-0000-0000415E0000}"/>
    <cellStyle name="Output 10 7" xfId="23837" xr:uid="{00000000-0005-0000-0000-0000425E0000}"/>
    <cellStyle name="Output 10 8" xfId="23838" xr:uid="{00000000-0005-0000-0000-0000435E0000}"/>
    <cellStyle name="Output 10 9" xfId="23839" xr:uid="{00000000-0005-0000-0000-0000445E0000}"/>
    <cellStyle name="Output 11" xfId="23840" xr:uid="{00000000-0005-0000-0000-0000455E0000}"/>
    <cellStyle name="Output 11 10" xfId="23841" xr:uid="{00000000-0005-0000-0000-0000465E0000}"/>
    <cellStyle name="Output 11 11" xfId="23842" xr:uid="{00000000-0005-0000-0000-0000475E0000}"/>
    <cellStyle name="Output 11 12" xfId="23843" xr:uid="{00000000-0005-0000-0000-0000485E0000}"/>
    <cellStyle name="Output 11 13" xfId="23844" xr:uid="{00000000-0005-0000-0000-0000495E0000}"/>
    <cellStyle name="Output 11 14" xfId="23845" xr:uid="{00000000-0005-0000-0000-00004A5E0000}"/>
    <cellStyle name="Output 11 15" xfId="23846" xr:uid="{00000000-0005-0000-0000-00004B5E0000}"/>
    <cellStyle name="Output 11 2" xfId="23847" xr:uid="{00000000-0005-0000-0000-00004C5E0000}"/>
    <cellStyle name="Output 11 2 2" xfId="23848" xr:uid="{00000000-0005-0000-0000-00004D5E0000}"/>
    <cellStyle name="Output 11 2 3" xfId="23849" xr:uid="{00000000-0005-0000-0000-00004E5E0000}"/>
    <cellStyle name="Output 11 2 4" xfId="23850" xr:uid="{00000000-0005-0000-0000-00004F5E0000}"/>
    <cellStyle name="Output 11 2 5" xfId="23851" xr:uid="{00000000-0005-0000-0000-0000505E0000}"/>
    <cellStyle name="Output 11 2 6" xfId="23852" xr:uid="{00000000-0005-0000-0000-0000515E0000}"/>
    <cellStyle name="Output 11 2 7" xfId="23853" xr:uid="{00000000-0005-0000-0000-0000525E0000}"/>
    <cellStyle name="Output 11 3" xfId="23854" xr:uid="{00000000-0005-0000-0000-0000535E0000}"/>
    <cellStyle name="Output 11 4" xfId="23855" xr:uid="{00000000-0005-0000-0000-0000545E0000}"/>
    <cellStyle name="Output 11 5" xfId="23856" xr:uid="{00000000-0005-0000-0000-0000555E0000}"/>
    <cellStyle name="Output 11 6" xfId="23857" xr:uid="{00000000-0005-0000-0000-0000565E0000}"/>
    <cellStyle name="Output 11 7" xfId="23858" xr:uid="{00000000-0005-0000-0000-0000575E0000}"/>
    <cellStyle name="Output 11 8" xfId="23859" xr:uid="{00000000-0005-0000-0000-0000585E0000}"/>
    <cellStyle name="Output 11 9" xfId="23860" xr:uid="{00000000-0005-0000-0000-0000595E0000}"/>
    <cellStyle name="Output 12" xfId="23861" xr:uid="{00000000-0005-0000-0000-00005A5E0000}"/>
    <cellStyle name="Output 12 10" xfId="23862" xr:uid="{00000000-0005-0000-0000-00005B5E0000}"/>
    <cellStyle name="Output 12 11" xfId="23863" xr:uid="{00000000-0005-0000-0000-00005C5E0000}"/>
    <cellStyle name="Output 12 12" xfId="23864" xr:uid="{00000000-0005-0000-0000-00005D5E0000}"/>
    <cellStyle name="Output 12 13" xfId="23865" xr:uid="{00000000-0005-0000-0000-00005E5E0000}"/>
    <cellStyle name="Output 12 14" xfId="23866" xr:uid="{00000000-0005-0000-0000-00005F5E0000}"/>
    <cellStyle name="Output 12 15" xfId="23867" xr:uid="{00000000-0005-0000-0000-0000605E0000}"/>
    <cellStyle name="Output 12 2" xfId="23868" xr:uid="{00000000-0005-0000-0000-0000615E0000}"/>
    <cellStyle name="Output 12 2 2" xfId="23869" xr:uid="{00000000-0005-0000-0000-0000625E0000}"/>
    <cellStyle name="Output 12 2 3" xfId="23870" xr:uid="{00000000-0005-0000-0000-0000635E0000}"/>
    <cellStyle name="Output 12 2 4" xfId="23871" xr:uid="{00000000-0005-0000-0000-0000645E0000}"/>
    <cellStyle name="Output 12 2 5" xfId="23872" xr:uid="{00000000-0005-0000-0000-0000655E0000}"/>
    <cellStyle name="Output 12 2 6" xfId="23873" xr:uid="{00000000-0005-0000-0000-0000665E0000}"/>
    <cellStyle name="Output 12 2 7" xfId="23874" xr:uid="{00000000-0005-0000-0000-0000675E0000}"/>
    <cellStyle name="Output 12 3" xfId="23875" xr:uid="{00000000-0005-0000-0000-0000685E0000}"/>
    <cellStyle name="Output 12 4" xfId="23876" xr:uid="{00000000-0005-0000-0000-0000695E0000}"/>
    <cellStyle name="Output 12 5" xfId="23877" xr:uid="{00000000-0005-0000-0000-00006A5E0000}"/>
    <cellStyle name="Output 12 6" xfId="23878" xr:uid="{00000000-0005-0000-0000-00006B5E0000}"/>
    <cellStyle name="Output 12 7" xfId="23879" xr:uid="{00000000-0005-0000-0000-00006C5E0000}"/>
    <cellStyle name="Output 12 8" xfId="23880" xr:uid="{00000000-0005-0000-0000-00006D5E0000}"/>
    <cellStyle name="Output 12 9" xfId="23881" xr:uid="{00000000-0005-0000-0000-00006E5E0000}"/>
    <cellStyle name="Output 13" xfId="23882" xr:uid="{00000000-0005-0000-0000-00006F5E0000}"/>
    <cellStyle name="Output 13 10" xfId="23883" xr:uid="{00000000-0005-0000-0000-0000705E0000}"/>
    <cellStyle name="Output 13 11" xfId="23884" xr:uid="{00000000-0005-0000-0000-0000715E0000}"/>
    <cellStyle name="Output 13 12" xfId="23885" xr:uid="{00000000-0005-0000-0000-0000725E0000}"/>
    <cellStyle name="Output 13 13" xfId="23886" xr:uid="{00000000-0005-0000-0000-0000735E0000}"/>
    <cellStyle name="Output 13 14" xfId="23887" xr:uid="{00000000-0005-0000-0000-0000745E0000}"/>
    <cellStyle name="Output 13 15" xfId="23888" xr:uid="{00000000-0005-0000-0000-0000755E0000}"/>
    <cellStyle name="Output 13 2" xfId="23889" xr:uid="{00000000-0005-0000-0000-0000765E0000}"/>
    <cellStyle name="Output 13 2 2" xfId="23890" xr:uid="{00000000-0005-0000-0000-0000775E0000}"/>
    <cellStyle name="Output 13 2 3" xfId="23891" xr:uid="{00000000-0005-0000-0000-0000785E0000}"/>
    <cellStyle name="Output 13 2 4" xfId="23892" xr:uid="{00000000-0005-0000-0000-0000795E0000}"/>
    <cellStyle name="Output 13 2 5" xfId="23893" xr:uid="{00000000-0005-0000-0000-00007A5E0000}"/>
    <cellStyle name="Output 13 2 6" xfId="23894" xr:uid="{00000000-0005-0000-0000-00007B5E0000}"/>
    <cellStyle name="Output 13 2 7" xfId="23895" xr:uid="{00000000-0005-0000-0000-00007C5E0000}"/>
    <cellStyle name="Output 13 3" xfId="23896" xr:uid="{00000000-0005-0000-0000-00007D5E0000}"/>
    <cellStyle name="Output 13 4" xfId="23897" xr:uid="{00000000-0005-0000-0000-00007E5E0000}"/>
    <cellStyle name="Output 13 5" xfId="23898" xr:uid="{00000000-0005-0000-0000-00007F5E0000}"/>
    <cellStyle name="Output 13 6" xfId="23899" xr:uid="{00000000-0005-0000-0000-0000805E0000}"/>
    <cellStyle name="Output 13 7" xfId="23900" xr:uid="{00000000-0005-0000-0000-0000815E0000}"/>
    <cellStyle name="Output 13 8" xfId="23901" xr:uid="{00000000-0005-0000-0000-0000825E0000}"/>
    <cellStyle name="Output 13 9" xfId="23902" xr:uid="{00000000-0005-0000-0000-0000835E0000}"/>
    <cellStyle name="Output 14" xfId="23903" xr:uid="{00000000-0005-0000-0000-0000845E0000}"/>
    <cellStyle name="Output 14 10" xfId="23904" xr:uid="{00000000-0005-0000-0000-0000855E0000}"/>
    <cellStyle name="Output 14 11" xfId="23905" xr:uid="{00000000-0005-0000-0000-0000865E0000}"/>
    <cellStyle name="Output 14 12" xfId="23906" xr:uid="{00000000-0005-0000-0000-0000875E0000}"/>
    <cellStyle name="Output 14 13" xfId="23907" xr:uid="{00000000-0005-0000-0000-0000885E0000}"/>
    <cellStyle name="Output 14 14" xfId="23908" xr:uid="{00000000-0005-0000-0000-0000895E0000}"/>
    <cellStyle name="Output 14 15" xfId="23909" xr:uid="{00000000-0005-0000-0000-00008A5E0000}"/>
    <cellStyle name="Output 14 2" xfId="23910" xr:uid="{00000000-0005-0000-0000-00008B5E0000}"/>
    <cellStyle name="Output 14 2 2" xfId="23911" xr:uid="{00000000-0005-0000-0000-00008C5E0000}"/>
    <cellStyle name="Output 14 2 3" xfId="23912" xr:uid="{00000000-0005-0000-0000-00008D5E0000}"/>
    <cellStyle name="Output 14 2 4" xfId="23913" xr:uid="{00000000-0005-0000-0000-00008E5E0000}"/>
    <cellStyle name="Output 14 2 5" xfId="23914" xr:uid="{00000000-0005-0000-0000-00008F5E0000}"/>
    <cellStyle name="Output 14 2 6" xfId="23915" xr:uid="{00000000-0005-0000-0000-0000905E0000}"/>
    <cellStyle name="Output 14 2 7" xfId="23916" xr:uid="{00000000-0005-0000-0000-0000915E0000}"/>
    <cellStyle name="Output 14 3" xfId="23917" xr:uid="{00000000-0005-0000-0000-0000925E0000}"/>
    <cellStyle name="Output 14 4" xfId="23918" xr:uid="{00000000-0005-0000-0000-0000935E0000}"/>
    <cellStyle name="Output 14 5" xfId="23919" xr:uid="{00000000-0005-0000-0000-0000945E0000}"/>
    <cellStyle name="Output 14 6" xfId="23920" xr:uid="{00000000-0005-0000-0000-0000955E0000}"/>
    <cellStyle name="Output 14 7" xfId="23921" xr:uid="{00000000-0005-0000-0000-0000965E0000}"/>
    <cellStyle name="Output 14 8" xfId="23922" xr:uid="{00000000-0005-0000-0000-0000975E0000}"/>
    <cellStyle name="Output 14 9" xfId="23923" xr:uid="{00000000-0005-0000-0000-0000985E0000}"/>
    <cellStyle name="Output 15" xfId="23924" xr:uid="{00000000-0005-0000-0000-0000995E0000}"/>
    <cellStyle name="Output 15 10" xfId="23925" xr:uid="{00000000-0005-0000-0000-00009A5E0000}"/>
    <cellStyle name="Output 15 11" xfId="23926" xr:uid="{00000000-0005-0000-0000-00009B5E0000}"/>
    <cellStyle name="Output 15 12" xfId="23927" xr:uid="{00000000-0005-0000-0000-00009C5E0000}"/>
    <cellStyle name="Output 15 13" xfId="23928" xr:uid="{00000000-0005-0000-0000-00009D5E0000}"/>
    <cellStyle name="Output 15 14" xfId="23929" xr:uid="{00000000-0005-0000-0000-00009E5E0000}"/>
    <cellStyle name="Output 15 15" xfId="23930" xr:uid="{00000000-0005-0000-0000-00009F5E0000}"/>
    <cellStyle name="Output 15 2" xfId="23931" xr:uid="{00000000-0005-0000-0000-0000A05E0000}"/>
    <cellStyle name="Output 15 2 2" xfId="23932" xr:uid="{00000000-0005-0000-0000-0000A15E0000}"/>
    <cellStyle name="Output 15 2 3" xfId="23933" xr:uid="{00000000-0005-0000-0000-0000A25E0000}"/>
    <cellStyle name="Output 15 2 4" xfId="23934" xr:uid="{00000000-0005-0000-0000-0000A35E0000}"/>
    <cellStyle name="Output 15 2 5" xfId="23935" xr:uid="{00000000-0005-0000-0000-0000A45E0000}"/>
    <cellStyle name="Output 15 2 6" xfId="23936" xr:uid="{00000000-0005-0000-0000-0000A55E0000}"/>
    <cellStyle name="Output 15 2 7" xfId="23937" xr:uid="{00000000-0005-0000-0000-0000A65E0000}"/>
    <cellStyle name="Output 15 3" xfId="23938" xr:uid="{00000000-0005-0000-0000-0000A75E0000}"/>
    <cellStyle name="Output 15 4" xfId="23939" xr:uid="{00000000-0005-0000-0000-0000A85E0000}"/>
    <cellStyle name="Output 15 5" xfId="23940" xr:uid="{00000000-0005-0000-0000-0000A95E0000}"/>
    <cellStyle name="Output 15 6" xfId="23941" xr:uid="{00000000-0005-0000-0000-0000AA5E0000}"/>
    <cellStyle name="Output 15 7" xfId="23942" xr:uid="{00000000-0005-0000-0000-0000AB5E0000}"/>
    <cellStyle name="Output 15 8" xfId="23943" xr:uid="{00000000-0005-0000-0000-0000AC5E0000}"/>
    <cellStyle name="Output 15 9" xfId="23944" xr:uid="{00000000-0005-0000-0000-0000AD5E0000}"/>
    <cellStyle name="Output 16" xfId="23945" xr:uid="{00000000-0005-0000-0000-0000AE5E0000}"/>
    <cellStyle name="Output 16 10" xfId="23946" xr:uid="{00000000-0005-0000-0000-0000AF5E0000}"/>
    <cellStyle name="Output 16 11" xfId="23947" xr:uid="{00000000-0005-0000-0000-0000B05E0000}"/>
    <cellStyle name="Output 16 12" xfId="23948" xr:uid="{00000000-0005-0000-0000-0000B15E0000}"/>
    <cellStyle name="Output 16 13" xfId="23949" xr:uid="{00000000-0005-0000-0000-0000B25E0000}"/>
    <cellStyle name="Output 16 14" xfId="23950" xr:uid="{00000000-0005-0000-0000-0000B35E0000}"/>
    <cellStyle name="Output 16 15" xfId="23951" xr:uid="{00000000-0005-0000-0000-0000B45E0000}"/>
    <cellStyle name="Output 16 2" xfId="23952" xr:uid="{00000000-0005-0000-0000-0000B55E0000}"/>
    <cellStyle name="Output 16 2 2" xfId="23953" xr:uid="{00000000-0005-0000-0000-0000B65E0000}"/>
    <cellStyle name="Output 16 2 3" xfId="23954" xr:uid="{00000000-0005-0000-0000-0000B75E0000}"/>
    <cellStyle name="Output 16 2 4" xfId="23955" xr:uid="{00000000-0005-0000-0000-0000B85E0000}"/>
    <cellStyle name="Output 16 2 5" xfId="23956" xr:uid="{00000000-0005-0000-0000-0000B95E0000}"/>
    <cellStyle name="Output 16 2 6" xfId="23957" xr:uid="{00000000-0005-0000-0000-0000BA5E0000}"/>
    <cellStyle name="Output 16 2 7" xfId="23958" xr:uid="{00000000-0005-0000-0000-0000BB5E0000}"/>
    <cellStyle name="Output 16 3" xfId="23959" xr:uid="{00000000-0005-0000-0000-0000BC5E0000}"/>
    <cellStyle name="Output 16 4" xfId="23960" xr:uid="{00000000-0005-0000-0000-0000BD5E0000}"/>
    <cellStyle name="Output 16 5" xfId="23961" xr:uid="{00000000-0005-0000-0000-0000BE5E0000}"/>
    <cellStyle name="Output 16 6" xfId="23962" xr:uid="{00000000-0005-0000-0000-0000BF5E0000}"/>
    <cellStyle name="Output 16 7" xfId="23963" xr:uid="{00000000-0005-0000-0000-0000C05E0000}"/>
    <cellStyle name="Output 16 8" xfId="23964" xr:uid="{00000000-0005-0000-0000-0000C15E0000}"/>
    <cellStyle name="Output 16 9" xfId="23965" xr:uid="{00000000-0005-0000-0000-0000C25E0000}"/>
    <cellStyle name="Output 17" xfId="23966" xr:uid="{00000000-0005-0000-0000-0000C35E0000}"/>
    <cellStyle name="Output 17 10" xfId="23967" xr:uid="{00000000-0005-0000-0000-0000C45E0000}"/>
    <cellStyle name="Output 17 11" xfId="23968" xr:uid="{00000000-0005-0000-0000-0000C55E0000}"/>
    <cellStyle name="Output 17 12" xfId="23969" xr:uid="{00000000-0005-0000-0000-0000C65E0000}"/>
    <cellStyle name="Output 17 13" xfId="23970" xr:uid="{00000000-0005-0000-0000-0000C75E0000}"/>
    <cellStyle name="Output 17 14" xfId="23971" xr:uid="{00000000-0005-0000-0000-0000C85E0000}"/>
    <cellStyle name="Output 17 15" xfId="23972" xr:uid="{00000000-0005-0000-0000-0000C95E0000}"/>
    <cellStyle name="Output 17 2" xfId="23973" xr:uid="{00000000-0005-0000-0000-0000CA5E0000}"/>
    <cellStyle name="Output 17 2 2" xfId="23974" xr:uid="{00000000-0005-0000-0000-0000CB5E0000}"/>
    <cellStyle name="Output 17 2 3" xfId="23975" xr:uid="{00000000-0005-0000-0000-0000CC5E0000}"/>
    <cellStyle name="Output 17 2 4" xfId="23976" xr:uid="{00000000-0005-0000-0000-0000CD5E0000}"/>
    <cellStyle name="Output 17 2 5" xfId="23977" xr:uid="{00000000-0005-0000-0000-0000CE5E0000}"/>
    <cellStyle name="Output 17 2 6" xfId="23978" xr:uid="{00000000-0005-0000-0000-0000CF5E0000}"/>
    <cellStyle name="Output 17 2 7" xfId="23979" xr:uid="{00000000-0005-0000-0000-0000D05E0000}"/>
    <cellStyle name="Output 17 3" xfId="23980" xr:uid="{00000000-0005-0000-0000-0000D15E0000}"/>
    <cellStyle name="Output 17 4" xfId="23981" xr:uid="{00000000-0005-0000-0000-0000D25E0000}"/>
    <cellStyle name="Output 17 5" xfId="23982" xr:uid="{00000000-0005-0000-0000-0000D35E0000}"/>
    <cellStyle name="Output 17 6" xfId="23983" xr:uid="{00000000-0005-0000-0000-0000D45E0000}"/>
    <cellStyle name="Output 17 7" xfId="23984" xr:uid="{00000000-0005-0000-0000-0000D55E0000}"/>
    <cellStyle name="Output 17 8" xfId="23985" xr:uid="{00000000-0005-0000-0000-0000D65E0000}"/>
    <cellStyle name="Output 17 9" xfId="23986" xr:uid="{00000000-0005-0000-0000-0000D75E0000}"/>
    <cellStyle name="Output 18" xfId="23987" xr:uid="{00000000-0005-0000-0000-0000D85E0000}"/>
    <cellStyle name="Output 18 10" xfId="23988" xr:uid="{00000000-0005-0000-0000-0000D95E0000}"/>
    <cellStyle name="Output 18 11" xfId="23989" xr:uid="{00000000-0005-0000-0000-0000DA5E0000}"/>
    <cellStyle name="Output 18 12" xfId="23990" xr:uid="{00000000-0005-0000-0000-0000DB5E0000}"/>
    <cellStyle name="Output 18 13" xfId="23991" xr:uid="{00000000-0005-0000-0000-0000DC5E0000}"/>
    <cellStyle name="Output 18 14" xfId="23992" xr:uid="{00000000-0005-0000-0000-0000DD5E0000}"/>
    <cellStyle name="Output 18 15" xfId="23993" xr:uid="{00000000-0005-0000-0000-0000DE5E0000}"/>
    <cellStyle name="Output 18 2" xfId="23994" xr:uid="{00000000-0005-0000-0000-0000DF5E0000}"/>
    <cellStyle name="Output 18 2 2" xfId="23995" xr:uid="{00000000-0005-0000-0000-0000E05E0000}"/>
    <cellStyle name="Output 18 2 3" xfId="23996" xr:uid="{00000000-0005-0000-0000-0000E15E0000}"/>
    <cellStyle name="Output 18 2 4" xfId="23997" xr:uid="{00000000-0005-0000-0000-0000E25E0000}"/>
    <cellStyle name="Output 18 2 5" xfId="23998" xr:uid="{00000000-0005-0000-0000-0000E35E0000}"/>
    <cellStyle name="Output 18 2 6" xfId="23999" xr:uid="{00000000-0005-0000-0000-0000E45E0000}"/>
    <cellStyle name="Output 18 2 7" xfId="24000" xr:uid="{00000000-0005-0000-0000-0000E55E0000}"/>
    <cellStyle name="Output 18 3" xfId="24001" xr:uid="{00000000-0005-0000-0000-0000E65E0000}"/>
    <cellStyle name="Output 18 4" xfId="24002" xr:uid="{00000000-0005-0000-0000-0000E75E0000}"/>
    <cellStyle name="Output 18 5" xfId="24003" xr:uid="{00000000-0005-0000-0000-0000E85E0000}"/>
    <cellStyle name="Output 18 6" xfId="24004" xr:uid="{00000000-0005-0000-0000-0000E95E0000}"/>
    <cellStyle name="Output 18 7" xfId="24005" xr:uid="{00000000-0005-0000-0000-0000EA5E0000}"/>
    <cellStyle name="Output 18 8" xfId="24006" xr:uid="{00000000-0005-0000-0000-0000EB5E0000}"/>
    <cellStyle name="Output 18 9" xfId="24007" xr:uid="{00000000-0005-0000-0000-0000EC5E0000}"/>
    <cellStyle name="Output 19" xfId="24008" xr:uid="{00000000-0005-0000-0000-0000ED5E0000}"/>
    <cellStyle name="Output 19 10" xfId="24009" xr:uid="{00000000-0005-0000-0000-0000EE5E0000}"/>
    <cellStyle name="Output 19 11" xfId="24010" xr:uid="{00000000-0005-0000-0000-0000EF5E0000}"/>
    <cellStyle name="Output 19 12" xfId="24011" xr:uid="{00000000-0005-0000-0000-0000F05E0000}"/>
    <cellStyle name="Output 19 13" xfId="24012" xr:uid="{00000000-0005-0000-0000-0000F15E0000}"/>
    <cellStyle name="Output 19 14" xfId="24013" xr:uid="{00000000-0005-0000-0000-0000F25E0000}"/>
    <cellStyle name="Output 19 15" xfId="24014" xr:uid="{00000000-0005-0000-0000-0000F35E0000}"/>
    <cellStyle name="Output 19 2" xfId="24015" xr:uid="{00000000-0005-0000-0000-0000F45E0000}"/>
    <cellStyle name="Output 19 2 2" xfId="24016" xr:uid="{00000000-0005-0000-0000-0000F55E0000}"/>
    <cellStyle name="Output 19 2 3" xfId="24017" xr:uid="{00000000-0005-0000-0000-0000F65E0000}"/>
    <cellStyle name="Output 19 2 4" xfId="24018" xr:uid="{00000000-0005-0000-0000-0000F75E0000}"/>
    <cellStyle name="Output 19 2 5" xfId="24019" xr:uid="{00000000-0005-0000-0000-0000F85E0000}"/>
    <cellStyle name="Output 19 2 6" xfId="24020" xr:uid="{00000000-0005-0000-0000-0000F95E0000}"/>
    <cellStyle name="Output 19 2 7" xfId="24021" xr:uid="{00000000-0005-0000-0000-0000FA5E0000}"/>
    <cellStyle name="Output 19 3" xfId="24022" xr:uid="{00000000-0005-0000-0000-0000FB5E0000}"/>
    <cellStyle name="Output 19 4" xfId="24023" xr:uid="{00000000-0005-0000-0000-0000FC5E0000}"/>
    <cellStyle name="Output 19 5" xfId="24024" xr:uid="{00000000-0005-0000-0000-0000FD5E0000}"/>
    <cellStyle name="Output 19 6" xfId="24025" xr:uid="{00000000-0005-0000-0000-0000FE5E0000}"/>
    <cellStyle name="Output 19 7" xfId="24026" xr:uid="{00000000-0005-0000-0000-0000FF5E0000}"/>
    <cellStyle name="Output 19 8" xfId="24027" xr:uid="{00000000-0005-0000-0000-0000005F0000}"/>
    <cellStyle name="Output 19 9" xfId="24028" xr:uid="{00000000-0005-0000-0000-0000015F0000}"/>
    <cellStyle name="Output 2" xfId="24029" xr:uid="{00000000-0005-0000-0000-0000025F0000}"/>
    <cellStyle name="Output 2 10" xfId="24030" xr:uid="{00000000-0005-0000-0000-0000035F0000}"/>
    <cellStyle name="Output 2 11" xfId="24031" xr:uid="{00000000-0005-0000-0000-0000045F0000}"/>
    <cellStyle name="Output 2 11 2" xfId="24032" xr:uid="{00000000-0005-0000-0000-0000055F0000}"/>
    <cellStyle name="Output 2 12" xfId="24033" xr:uid="{00000000-0005-0000-0000-0000065F0000}"/>
    <cellStyle name="Output 2 12 2" xfId="24034" xr:uid="{00000000-0005-0000-0000-0000075F0000}"/>
    <cellStyle name="Output 2 13" xfId="24035" xr:uid="{00000000-0005-0000-0000-0000085F0000}"/>
    <cellStyle name="Output 2 13 2" xfId="24036" xr:uid="{00000000-0005-0000-0000-0000095F0000}"/>
    <cellStyle name="Output 2 14" xfId="24037" xr:uid="{00000000-0005-0000-0000-00000A5F0000}"/>
    <cellStyle name="Output 2 15" xfId="24038" xr:uid="{00000000-0005-0000-0000-00000B5F0000}"/>
    <cellStyle name="Output 2 2" xfId="24039" xr:uid="{00000000-0005-0000-0000-00000C5F0000}"/>
    <cellStyle name="Output 2 2 2" xfId="24040" xr:uid="{00000000-0005-0000-0000-00000D5F0000}"/>
    <cellStyle name="Output 2 2 2 2" xfId="24041" xr:uid="{00000000-0005-0000-0000-00000E5F0000}"/>
    <cellStyle name="Output 2 2 2 3" xfId="24042" xr:uid="{00000000-0005-0000-0000-00000F5F0000}"/>
    <cellStyle name="Output 2 2 2 4" xfId="24043" xr:uid="{00000000-0005-0000-0000-0000105F0000}"/>
    <cellStyle name="Output 2 2 2 5" xfId="24044" xr:uid="{00000000-0005-0000-0000-0000115F0000}"/>
    <cellStyle name="Output 2 2 2 6" xfId="24045" xr:uid="{00000000-0005-0000-0000-0000125F0000}"/>
    <cellStyle name="Output 2 2 2 7" xfId="24046" xr:uid="{00000000-0005-0000-0000-0000135F0000}"/>
    <cellStyle name="Output 2 2 3" xfId="24047" xr:uid="{00000000-0005-0000-0000-0000145F0000}"/>
    <cellStyle name="Output 2 2 4" xfId="24048" xr:uid="{00000000-0005-0000-0000-0000155F0000}"/>
    <cellStyle name="Output 2 2 5" xfId="24049" xr:uid="{00000000-0005-0000-0000-0000165F0000}"/>
    <cellStyle name="Output 2 2 6" xfId="24050" xr:uid="{00000000-0005-0000-0000-0000175F0000}"/>
    <cellStyle name="Output 2 2 7" xfId="24051" xr:uid="{00000000-0005-0000-0000-0000185F0000}"/>
    <cellStyle name="Output 2 3" xfId="24052" xr:uid="{00000000-0005-0000-0000-0000195F0000}"/>
    <cellStyle name="Output 2 3 2" xfId="24053" xr:uid="{00000000-0005-0000-0000-00001A5F0000}"/>
    <cellStyle name="Output 2 3 2 2" xfId="24054" xr:uid="{00000000-0005-0000-0000-00001B5F0000}"/>
    <cellStyle name="Output 2 3 2 3" xfId="24055" xr:uid="{00000000-0005-0000-0000-00001C5F0000}"/>
    <cellStyle name="Output 2 3 2 4" xfId="24056" xr:uid="{00000000-0005-0000-0000-00001D5F0000}"/>
    <cellStyle name="Output 2 3 2 5" xfId="24057" xr:uid="{00000000-0005-0000-0000-00001E5F0000}"/>
    <cellStyle name="Output 2 3 2 6" xfId="24058" xr:uid="{00000000-0005-0000-0000-00001F5F0000}"/>
    <cellStyle name="Output 2 3 2 7" xfId="24059" xr:uid="{00000000-0005-0000-0000-0000205F0000}"/>
    <cellStyle name="Output 2 3 3" xfId="24060" xr:uid="{00000000-0005-0000-0000-0000215F0000}"/>
    <cellStyle name="Output 2 3 4" xfId="24061" xr:uid="{00000000-0005-0000-0000-0000225F0000}"/>
    <cellStyle name="Output 2 3 5" xfId="24062" xr:uid="{00000000-0005-0000-0000-0000235F0000}"/>
    <cellStyle name="Output 2 3 6" xfId="24063" xr:uid="{00000000-0005-0000-0000-0000245F0000}"/>
    <cellStyle name="Output 2 3 7" xfId="24064" xr:uid="{00000000-0005-0000-0000-0000255F0000}"/>
    <cellStyle name="Output 2 4" xfId="24065" xr:uid="{00000000-0005-0000-0000-0000265F0000}"/>
    <cellStyle name="Output 2 4 2" xfId="24066" xr:uid="{00000000-0005-0000-0000-0000275F0000}"/>
    <cellStyle name="Output 2 4 2 2" xfId="24067" xr:uid="{00000000-0005-0000-0000-0000285F0000}"/>
    <cellStyle name="Output 2 4 2 3" xfId="24068" xr:uid="{00000000-0005-0000-0000-0000295F0000}"/>
    <cellStyle name="Output 2 4 2 4" xfId="24069" xr:uid="{00000000-0005-0000-0000-00002A5F0000}"/>
    <cellStyle name="Output 2 4 2 5" xfId="24070" xr:uid="{00000000-0005-0000-0000-00002B5F0000}"/>
    <cellStyle name="Output 2 4 2 6" xfId="24071" xr:uid="{00000000-0005-0000-0000-00002C5F0000}"/>
    <cellStyle name="Output 2 4 2 7" xfId="24072" xr:uid="{00000000-0005-0000-0000-00002D5F0000}"/>
    <cellStyle name="Output 2 4 3" xfId="24073" xr:uid="{00000000-0005-0000-0000-00002E5F0000}"/>
    <cellStyle name="Output 2 4 4" xfId="24074" xr:uid="{00000000-0005-0000-0000-00002F5F0000}"/>
    <cellStyle name="Output 2 4 5" xfId="24075" xr:uid="{00000000-0005-0000-0000-0000305F0000}"/>
    <cellStyle name="Output 2 4 6" xfId="24076" xr:uid="{00000000-0005-0000-0000-0000315F0000}"/>
    <cellStyle name="Output 2 4 7" xfId="24077" xr:uid="{00000000-0005-0000-0000-0000325F0000}"/>
    <cellStyle name="Output 2 5" xfId="24078" xr:uid="{00000000-0005-0000-0000-0000335F0000}"/>
    <cellStyle name="Output 2 5 2" xfId="24079" xr:uid="{00000000-0005-0000-0000-0000345F0000}"/>
    <cellStyle name="Output 2 5 2 2" xfId="24080" xr:uid="{00000000-0005-0000-0000-0000355F0000}"/>
    <cellStyle name="Output 2 5 2 3" xfId="24081" xr:uid="{00000000-0005-0000-0000-0000365F0000}"/>
    <cellStyle name="Output 2 5 2 4" xfId="24082" xr:uid="{00000000-0005-0000-0000-0000375F0000}"/>
    <cellStyle name="Output 2 5 2 5" xfId="24083" xr:uid="{00000000-0005-0000-0000-0000385F0000}"/>
    <cellStyle name="Output 2 5 2 6" xfId="24084" xr:uid="{00000000-0005-0000-0000-0000395F0000}"/>
    <cellStyle name="Output 2 5 2 7" xfId="24085" xr:uid="{00000000-0005-0000-0000-00003A5F0000}"/>
    <cellStyle name="Output 2 5 3" xfId="24086" xr:uid="{00000000-0005-0000-0000-00003B5F0000}"/>
    <cellStyle name="Output 2 5 4" xfId="24087" xr:uid="{00000000-0005-0000-0000-00003C5F0000}"/>
    <cellStyle name="Output 2 5 5" xfId="24088" xr:uid="{00000000-0005-0000-0000-00003D5F0000}"/>
    <cellStyle name="Output 2 5 6" xfId="24089" xr:uid="{00000000-0005-0000-0000-00003E5F0000}"/>
    <cellStyle name="Output 2 5 7" xfId="24090" xr:uid="{00000000-0005-0000-0000-00003F5F0000}"/>
    <cellStyle name="Output 2 6" xfId="24091" xr:uid="{00000000-0005-0000-0000-0000405F0000}"/>
    <cellStyle name="Output 2 6 2" xfId="24092" xr:uid="{00000000-0005-0000-0000-0000415F0000}"/>
    <cellStyle name="Output 2 6 2 2" xfId="24093" xr:uid="{00000000-0005-0000-0000-0000425F0000}"/>
    <cellStyle name="Output 2 6 2 3" xfId="24094" xr:uid="{00000000-0005-0000-0000-0000435F0000}"/>
    <cellStyle name="Output 2 6 2 4" xfId="24095" xr:uid="{00000000-0005-0000-0000-0000445F0000}"/>
    <cellStyle name="Output 2 6 2 5" xfId="24096" xr:uid="{00000000-0005-0000-0000-0000455F0000}"/>
    <cellStyle name="Output 2 6 2 6" xfId="24097" xr:uid="{00000000-0005-0000-0000-0000465F0000}"/>
    <cellStyle name="Output 2 6 2 7" xfId="24098" xr:uid="{00000000-0005-0000-0000-0000475F0000}"/>
    <cellStyle name="Output 2 6 3" xfId="24099" xr:uid="{00000000-0005-0000-0000-0000485F0000}"/>
    <cellStyle name="Output 2 6 4" xfId="24100" xr:uid="{00000000-0005-0000-0000-0000495F0000}"/>
    <cellStyle name="Output 2 6 5" xfId="24101" xr:uid="{00000000-0005-0000-0000-00004A5F0000}"/>
    <cellStyle name="Output 2 6 6" xfId="24102" xr:uid="{00000000-0005-0000-0000-00004B5F0000}"/>
    <cellStyle name="Output 2 6 7" xfId="24103" xr:uid="{00000000-0005-0000-0000-00004C5F0000}"/>
    <cellStyle name="Output 2 7" xfId="24104" xr:uid="{00000000-0005-0000-0000-00004D5F0000}"/>
    <cellStyle name="Output 2 7 2" xfId="24105" xr:uid="{00000000-0005-0000-0000-00004E5F0000}"/>
    <cellStyle name="Output 2 7 2 2" xfId="24106" xr:uid="{00000000-0005-0000-0000-00004F5F0000}"/>
    <cellStyle name="Output 2 7 2 3" xfId="24107" xr:uid="{00000000-0005-0000-0000-0000505F0000}"/>
    <cellStyle name="Output 2 7 2 4" xfId="24108" xr:uid="{00000000-0005-0000-0000-0000515F0000}"/>
    <cellStyle name="Output 2 7 2 5" xfId="24109" xr:uid="{00000000-0005-0000-0000-0000525F0000}"/>
    <cellStyle name="Output 2 7 2 6" xfId="24110" xr:uid="{00000000-0005-0000-0000-0000535F0000}"/>
    <cellStyle name="Output 2 7 2 7" xfId="24111" xr:uid="{00000000-0005-0000-0000-0000545F0000}"/>
    <cellStyle name="Output 2 7 3" xfId="24112" xr:uid="{00000000-0005-0000-0000-0000555F0000}"/>
    <cellStyle name="Output 2 7 4" xfId="24113" xr:uid="{00000000-0005-0000-0000-0000565F0000}"/>
    <cellStyle name="Output 2 7 5" xfId="24114" xr:uid="{00000000-0005-0000-0000-0000575F0000}"/>
    <cellStyle name="Output 2 7 6" xfId="24115" xr:uid="{00000000-0005-0000-0000-0000585F0000}"/>
    <cellStyle name="Output 2 7 7" xfId="24116" xr:uid="{00000000-0005-0000-0000-0000595F0000}"/>
    <cellStyle name="Output 2 8" xfId="24117" xr:uid="{00000000-0005-0000-0000-00005A5F0000}"/>
    <cellStyle name="Output 2 8 2" xfId="24118" xr:uid="{00000000-0005-0000-0000-00005B5F0000}"/>
    <cellStyle name="Output 2 8 2 2" xfId="24119" xr:uid="{00000000-0005-0000-0000-00005C5F0000}"/>
    <cellStyle name="Output 2 8 2 3" xfId="24120" xr:uid="{00000000-0005-0000-0000-00005D5F0000}"/>
    <cellStyle name="Output 2 8 2 4" xfId="24121" xr:uid="{00000000-0005-0000-0000-00005E5F0000}"/>
    <cellStyle name="Output 2 8 2 5" xfId="24122" xr:uid="{00000000-0005-0000-0000-00005F5F0000}"/>
    <cellStyle name="Output 2 8 2 6" xfId="24123" xr:uid="{00000000-0005-0000-0000-0000605F0000}"/>
    <cellStyle name="Output 2 8 2 7" xfId="24124" xr:uid="{00000000-0005-0000-0000-0000615F0000}"/>
    <cellStyle name="Output 2 8 3" xfId="24125" xr:uid="{00000000-0005-0000-0000-0000625F0000}"/>
    <cellStyle name="Output 2 8 4" xfId="24126" xr:uid="{00000000-0005-0000-0000-0000635F0000}"/>
    <cellStyle name="Output 2 8 5" xfId="24127" xr:uid="{00000000-0005-0000-0000-0000645F0000}"/>
    <cellStyle name="Output 2 8 6" xfId="24128" xr:uid="{00000000-0005-0000-0000-0000655F0000}"/>
    <cellStyle name="Output 2 8 7" xfId="24129" xr:uid="{00000000-0005-0000-0000-0000665F0000}"/>
    <cellStyle name="Output 2 9" xfId="24130" xr:uid="{00000000-0005-0000-0000-0000675F0000}"/>
    <cellStyle name="Output 2 9 2" xfId="24131" xr:uid="{00000000-0005-0000-0000-0000685F0000}"/>
    <cellStyle name="Output 2 9 3" xfId="24132" xr:uid="{00000000-0005-0000-0000-0000695F0000}"/>
    <cellStyle name="Output 2 9 4" xfId="24133" xr:uid="{00000000-0005-0000-0000-00006A5F0000}"/>
    <cellStyle name="Output 2 9 5" xfId="24134" xr:uid="{00000000-0005-0000-0000-00006B5F0000}"/>
    <cellStyle name="Output 2 9 6" xfId="24135" xr:uid="{00000000-0005-0000-0000-00006C5F0000}"/>
    <cellStyle name="Output 2 9 7" xfId="24136" xr:uid="{00000000-0005-0000-0000-00006D5F0000}"/>
    <cellStyle name="Output 2 9 8" xfId="24137" xr:uid="{00000000-0005-0000-0000-00006E5F0000}"/>
    <cellStyle name="Output 20" xfId="24138" xr:uid="{00000000-0005-0000-0000-00006F5F0000}"/>
    <cellStyle name="Output 20 10" xfId="24139" xr:uid="{00000000-0005-0000-0000-0000705F0000}"/>
    <cellStyle name="Output 20 11" xfId="24140" xr:uid="{00000000-0005-0000-0000-0000715F0000}"/>
    <cellStyle name="Output 20 12" xfId="24141" xr:uid="{00000000-0005-0000-0000-0000725F0000}"/>
    <cellStyle name="Output 20 13" xfId="24142" xr:uid="{00000000-0005-0000-0000-0000735F0000}"/>
    <cellStyle name="Output 20 14" xfId="24143" xr:uid="{00000000-0005-0000-0000-0000745F0000}"/>
    <cellStyle name="Output 20 15" xfId="24144" xr:uid="{00000000-0005-0000-0000-0000755F0000}"/>
    <cellStyle name="Output 20 2" xfId="24145" xr:uid="{00000000-0005-0000-0000-0000765F0000}"/>
    <cellStyle name="Output 20 2 2" xfId="24146" xr:uid="{00000000-0005-0000-0000-0000775F0000}"/>
    <cellStyle name="Output 20 2 3" xfId="24147" xr:uid="{00000000-0005-0000-0000-0000785F0000}"/>
    <cellStyle name="Output 20 2 4" xfId="24148" xr:uid="{00000000-0005-0000-0000-0000795F0000}"/>
    <cellStyle name="Output 20 2 5" xfId="24149" xr:uid="{00000000-0005-0000-0000-00007A5F0000}"/>
    <cellStyle name="Output 20 2 6" xfId="24150" xr:uid="{00000000-0005-0000-0000-00007B5F0000}"/>
    <cellStyle name="Output 20 2 7" xfId="24151" xr:uid="{00000000-0005-0000-0000-00007C5F0000}"/>
    <cellStyle name="Output 20 3" xfId="24152" xr:uid="{00000000-0005-0000-0000-00007D5F0000}"/>
    <cellStyle name="Output 20 4" xfId="24153" xr:uid="{00000000-0005-0000-0000-00007E5F0000}"/>
    <cellStyle name="Output 20 5" xfId="24154" xr:uid="{00000000-0005-0000-0000-00007F5F0000}"/>
    <cellStyle name="Output 20 6" xfId="24155" xr:uid="{00000000-0005-0000-0000-0000805F0000}"/>
    <cellStyle name="Output 20 7" xfId="24156" xr:uid="{00000000-0005-0000-0000-0000815F0000}"/>
    <cellStyle name="Output 20 8" xfId="24157" xr:uid="{00000000-0005-0000-0000-0000825F0000}"/>
    <cellStyle name="Output 20 9" xfId="24158" xr:uid="{00000000-0005-0000-0000-0000835F0000}"/>
    <cellStyle name="Output 21" xfId="24159" xr:uid="{00000000-0005-0000-0000-0000845F0000}"/>
    <cellStyle name="Output 21 10" xfId="24160" xr:uid="{00000000-0005-0000-0000-0000855F0000}"/>
    <cellStyle name="Output 21 11" xfId="24161" xr:uid="{00000000-0005-0000-0000-0000865F0000}"/>
    <cellStyle name="Output 21 12" xfId="24162" xr:uid="{00000000-0005-0000-0000-0000875F0000}"/>
    <cellStyle name="Output 21 13" xfId="24163" xr:uid="{00000000-0005-0000-0000-0000885F0000}"/>
    <cellStyle name="Output 21 14" xfId="24164" xr:uid="{00000000-0005-0000-0000-0000895F0000}"/>
    <cellStyle name="Output 21 15" xfId="24165" xr:uid="{00000000-0005-0000-0000-00008A5F0000}"/>
    <cellStyle name="Output 21 2" xfId="24166" xr:uid="{00000000-0005-0000-0000-00008B5F0000}"/>
    <cellStyle name="Output 21 2 2" xfId="24167" xr:uid="{00000000-0005-0000-0000-00008C5F0000}"/>
    <cellStyle name="Output 21 2 3" xfId="24168" xr:uid="{00000000-0005-0000-0000-00008D5F0000}"/>
    <cellStyle name="Output 21 2 4" xfId="24169" xr:uid="{00000000-0005-0000-0000-00008E5F0000}"/>
    <cellStyle name="Output 21 2 5" xfId="24170" xr:uid="{00000000-0005-0000-0000-00008F5F0000}"/>
    <cellStyle name="Output 21 2 6" xfId="24171" xr:uid="{00000000-0005-0000-0000-0000905F0000}"/>
    <cellStyle name="Output 21 2 7" xfId="24172" xr:uid="{00000000-0005-0000-0000-0000915F0000}"/>
    <cellStyle name="Output 21 3" xfId="24173" xr:uid="{00000000-0005-0000-0000-0000925F0000}"/>
    <cellStyle name="Output 21 4" xfId="24174" xr:uid="{00000000-0005-0000-0000-0000935F0000}"/>
    <cellStyle name="Output 21 5" xfId="24175" xr:uid="{00000000-0005-0000-0000-0000945F0000}"/>
    <cellStyle name="Output 21 6" xfId="24176" xr:uid="{00000000-0005-0000-0000-0000955F0000}"/>
    <cellStyle name="Output 21 7" xfId="24177" xr:uid="{00000000-0005-0000-0000-0000965F0000}"/>
    <cellStyle name="Output 21 8" xfId="24178" xr:uid="{00000000-0005-0000-0000-0000975F0000}"/>
    <cellStyle name="Output 21 9" xfId="24179" xr:uid="{00000000-0005-0000-0000-0000985F0000}"/>
    <cellStyle name="Output 22" xfId="24180" xr:uid="{00000000-0005-0000-0000-0000995F0000}"/>
    <cellStyle name="Output 22 10" xfId="24181" xr:uid="{00000000-0005-0000-0000-00009A5F0000}"/>
    <cellStyle name="Output 22 11" xfId="24182" xr:uid="{00000000-0005-0000-0000-00009B5F0000}"/>
    <cellStyle name="Output 22 12" xfId="24183" xr:uid="{00000000-0005-0000-0000-00009C5F0000}"/>
    <cellStyle name="Output 22 13" xfId="24184" xr:uid="{00000000-0005-0000-0000-00009D5F0000}"/>
    <cellStyle name="Output 22 14" xfId="24185" xr:uid="{00000000-0005-0000-0000-00009E5F0000}"/>
    <cellStyle name="Output 22 15" xfId="24186" xr:uid="{00000000-0005-0000-0000-00009F5F0000}"/>
    <cellStyle name="Output 22 2" xfId="24187" xr:uid="{00000000-0005-0000-0000-0000A05F0000}"/>
    <cellStyle name="Output 22 2 2" xfId="24188" xr:uid="{00000000-0005-0000-0000-0000A15F0000}"/>
    <cellStyle name="Output 22 2 3" xfId="24189" xr:uid="{00000000-0005-0000-0000-0000A25F0000}"/>
    <cellStyle name="Output 22 2 4" xfId="24190" xr:uid="{00000000-0005-0000-0000-0000A35F0000}"/>
    <cellStyle name="Output 22 2 5" xfId="24191" xr:uid="{00000000-0005-0000-0000-0000A45F0000}"/>
    <cellStyle name="Output 22 2 6" xfId="24192" xr:uid="{00000000-0005-0000-0000-0000A55F0000}"/>
    <cellStyle name="Output 22 2 7" xfId="24193" xr:uid="{00000000-0005-0000-0000-0000A65F0000}"/>
    <cellStyle name="Output 22 3" xfId="24194" xr:uid="{00000000-0005-0000-0000-0000A75F0000}"/>
    <cellStyle name="Output 22 4" xfId="24195" xr:uid="{00000000-0005-0000-0000-0000A85F0000}"/>
    <cellStyle name="Output 22 5" xfId="24196" xr:uid="{00000000-0005-0000-0000-0000A95F0000}"/>
    <cellStyle name="Output 22 6" xfId="24197" xr:uid="{00000000-0005-0000-0000-0000AA5F0000}"/>
    <cellStyle name="Output 22 7" xfId="24198" xr:uid="{00000000-0005-0000-0000-0000AB5F0000}"/>
    <cellStyle name="Output 22 8" xfId="24199" xr:uid="{00000000-0005-0000-0000-0000AC5F0000}"/>
    <cellStyle name="Output 22 9" xfId="24200" xr:uid="{00000000-0005-0000-0000-0000AD5F0000}"/>
    <cellStyle name="Output 23" xfId="24201" xr:uid="{00000000-0005-0000-0000-0000AE5F0000}"/>
    <cellStyle name="Output 23 10" xfId="24202" xr:uid="{00000000-0005-0000-0000-0000AF5F0000}"/>
    <cellStyle name="Output 23 11" xfId="24203" xr:uid="{00000000-0005-0000-0000-0000B05F0000}"/>
    <cellStyle name="Output 23 12" xfId="24204" xr:uid="{00000000-0005-0000-0000-0000B15F0000}"/>
    <cellStyle name="Output 23 13" xfId="24205" xr:uid="{00000000-0005-0000-0000-0000B25F0000}"/>
    <cellStyle name="Output 23 14" xfId="24206" xr:uid="{00000000-0005-0000-0000-0000B35F0000}"/>
    <cellStyle name="Output 23 15" xfId="24207" xr:uid="{00000000-0005-0000-0000-0000B45F0000}"/>
    <cellStyle name="Output 23 2" xfId="24208" xr:uid="{00000000-0005-0000-0000-0000B55F0000}"/>
    <cellStyle name="Output 23 2 2" xfId="24209" xr:uid="{00000000-0005-0000-0000-0000B65F0000}"/>
    <cellStyle name="Output 23 2 3" xfId="24210" xr:uid="{00000000-0005-0000-0000-0000B75F0000}"/>
    <cellStyle name="Output 23 2 4" xfId="24211" xr:uid="{00000000-0005-0000-0000-0000B85F0000}"/>
    <cellStyle name="Output 23 2 5" xfId="24212" xr:uid="{00000000-0005-0000-0000-0000B95F0000}"/>
    <cellStyle name="Output 23 2 6" xfId="24213" xr:uid="{00000000-0005-0000-0000-0000BA5F0000}"/>
    <cellStyle name="Output 23 2 7" xfId="24214" xr:uid="{00000000-0005-0000-0000-0000BB5F0000}"/>
    <cellStyle name="Output 23 3" xfId="24215" xr:uid="{00000000-0005-0000-0000-0000BC5F0000}"/>
    <cellStyle name="Output 23 4" xfId="24216" xr:uid="{00000000-0005-0000-0000-0000BD5F0000}"/>
    <cellStyle name="Output 23 5" xfId="24217" xr:uid="{00000000-0005-0000-0000-0000BE5F0000}"/>
    <cellStyle name="Output 23 6" xfId="24218" xr:uid="{00000000-0005-0000-0000-0000BF5F0000}"/>
    <cellStyle name="Output 23 7" xfId="24219" xr:uid="{00000000-0005-0000-0000-0000C05F0000}"/>
    <cellStyle name="Output 23 8" xfId="24220" xr:uid="{00000000-0005-0000-0000-0000C15F0000}"/>
    <cellStyle name="Output 23 9" xfId="24221" xr:uid="{00000000-0005-0000-0000-0000C25F0000}"/>
    <cellStyle name="Output 24" xfId="24222" xr:uid="{00000000-0005-0000-0000-0000C35F0000}"/>
    <cellStyle name="Output 24 2" xfId="24223" xr:uid="{00000000-0005-0000-0000-0000C45F0000}"/>
    <cellStyle name="Output 24 3" xfId="24224" xr:uid="{00000000-0005-0000-0000-0000C55F0000}"/>
    <cellStyle name="Output 24 4" xfId="24225" xr:uid="{00000000-0005-0000-0000-0000C65F0000}"/>
    <cellStyle name="Output 24 5" xfId="24226" xr:uid="{00000000-0005-0000-0000-0000C75F0000}"/>
    <cellStyle name="Output 24 6" xfId="24227" xr:uid="{00000000-0005-0000-0000-0000C85F0000}"/>
    <cellStyle name="Output 24 7" xfId="24228" xr:uid="{00000000-0005-0000-0000-0000C95F0000}"/>
    <cellStyle name="Output 24 8" xfId="24229" xr:uid="{00000000-0005-0000-0000-0000CA5F0000}"/>
    <cellStyle name="Output 24 9" xfId="24230" xr:uid="{00000000-0005-0000-0000-0000CB5F0000}"/>
    <cellStyle name="Output 25" xfId="24231" xr:uid="{00000000-0005-0000-0000-0000CC5F0000}"/>
    <cellStyle name="Output 25 2" xfId="24232" xr:uid="{00000000-0005-0000-0000-0000CD5F0000}"/>
    <cellStyle name="Output 25 3" xfId="24233" xr:uid="{00000000-0005-0000-0000-0000CE5F0000}"/>
    <cellStyle name="Output 25 4" xfId="24234" xr:uid="{00000000-0005-0000-0000-0000CF5F0000}"/>
    <cellStyle name="Output 25 5" xfId="24235" xr:uid="{00000000-0005-0000-0000-0000D05F0000}"/>
    <cellStyle name="Output 25 6" xfId="24236" xr:uid="{00000000-0005-0000-0000-0000D15F0000}"/>
    <cellStyle name="Output 25 7" xfId="24237" xr:uid="{00000000-0005-0000-0000-0000D25F0000}"/>
    <cellStyle name="Output 25 8" xfId="24238" xr:uid="{00000000-0005-0000-0000-0000D35F0000}"/>
    <cellStyle name="Output 25 9" xfId="24239" xr:uid="{00000000-0005-0000-0000-0000D45F0000}"/>
    <cellStyle name="Output 26" xfId="24240" xr:uid="{00000000-0005-0000-0000-0000D55F0000}"/>
    <cellStyle name="Output 26 2" xfId="24241" xr:uid="{00000000-0005-0000-0000-0000D65F0000}"/>
    <cellStyle name="Output 26 3" xfId="24242" xr:uid="{00000000-0005-0000-0000-0000D75F0000}"/>
    <cellStyle name="Output 26 4" xfId="24243" xr:uid="{00000000-0005-0000-0000-0000D85F0000}"/>
    <cellStyle name="Output 26 5" xfId="24244" xr:uid="{00000000-0005-0000-0000-0000D95F0000}"/>
    <cellStyle name="Output 26 6" xfId="24245" xr:uid="{00000000-0005-0000-0000-0000DA5F0000}"/>
    <cellStyle name="Output 26 7" xfId="24246" xr:uid="{00000000-0005-0000-0000-0000DB5F0000}"/>
    <cellStyle name="Output 26 8" xfId="24247" xr:uid="{00000000-0005-0000-0000-0000DC5F0000}"/>
    <cellStyle name="Output 26 9" xfId="24248" xr:uid="{00000000-0005-0000-0000-0000DD5F0000}"/>
    <cellStyle name="Output 27" xfId="24249" xr:uid="{00000000-0005-0000-0000-0000DE5F0000}"/>
    <cellStyle name="Output 27 2" xfId="24250" xr:uid="{00000000-0005-0000-0000-0000DF5F0000}"/>
    <cellStyle name="Output 27 3" xfId="24251" xr:uid="{00000000-0005-0000-0000-0000E05F0000}"/>
    <cellStyle name="Output 27 4" xfId="24252" xr:uid="{00000000-0005-0000-0000-0000E15F0000}"/>
    <cellStyle name="Output 27 5" xfId="24253" xr:uid="{00000000-0005-0000-0000-0000E25F0000}"/>
    <cellStyle name="Output 27 6" xfId="24254" xr:uid="{00000000-0005-0000-0000-0000E35F0000}"/>
    <cellStyle name="Output 27 7" xfId="24255" xr:uid="{00000000-0005-0000-0000-0000E45F0000}"/>
    <cellStyle name="Output 27 8" xfId="24256" xr:uid="{00000000-0005-0000-0000-0000E55F0000}"/>
    <cellStyle name="Output 27 9" xfId="24257" xr:uid="{00000000-0005-0000-0000-0000E65F0000}"/>
    <cellStyle name="Output 28" xfId="24258" xr:uid="{00000000-0005-0000-0000-0000E75F0000}"/>
    <cellStyle name="Output 28 2" xfId="24259" xr:uid="{00000000-0005-0000-0000-0000E85F0000}"/>
    <cellStyle name="Output 28 3" xfId="24260" xr:uid="{00000000-0005-0000-0000-0000E95F0000}"/>
    <cellStyle name="Output 28 4" xfId="24261" xr:uid="{00000000-0005-0000-0000-0000EA5F0000}"/>
    <cellStyle name="Output 28 5" xfId="24262" xr:uid="{00000000-0005-0000-0000-0000EB5F0000}"/>
    <cellStyle name="Output 28 6" xfId="24263" xr:uid="{00000000-0005-0000-0000-0000EC5F0000}"/>
    <cellStyle name="Output 28 7" xfId="24264" xr:uid="{00000000-0005-0000-0000-0000ED5F0000}"/>
    <cellStyle name="Output 28 8" xfId="24265" xr:uid="{00000000-0005-0000-0000-0000EE5F0000}"/>
    <cellStyle name="Output 28 9" xfId="24266" xr:uid="{00000000-0005-0000-0000-0000EF5F0000}"/>
    <cellStyle name="Output 29" xfId="24267" xr:uid="{00000000-0005-0000-0000-0000F05F0000}"/>
    <cellStyle name="Output 29 2" xfId="24268" xr:uid="{00000000-0005-0000-0000-0000F15F0000}"/>
    <cellStyle name="Output 29 3" xfId="24269" xr:uid="{00000000-0005-0000-0000-0000F25F0000}"/>
    <cellStyle name="Output 29 4" xfId="24270" xr:uid="{00000000-0005-0000-0000-0000F35F0000}"/>
    <cellStyle name="Output 29 5" xfId="24271" xr:uid="{00000000-0005-0000-0000-0000F45F0000}"/>
    <cellStyle name="Output 29 6" xfId="24272" xr:uid="{00000000-0005-0000-0000-0000F55F0000}"/>
    <cellStyle name="Output 29 7" xfId="24273" xr:uid="{00000000-0005-0000-0000-0000F65F0000}"/>
    <cellStyle name="Output 29 8" xfId="24274" xr:uid="{00000000-0005-0000-0000-0000F75F0000}"/>
    <cellStyle name="Output 29 9" xfId="24275" xr:uid="{00000000-0005-0000-0000-0000F85F0000}"/>
    <cellStyle name="Output 3" xfId="24276" xr:uid="{00000000-0005-0000-0000-0000F95F0000}"/>
    <cellStyle name="Output 3 10" xfId="24277" xr:uid="{00000000-0005-0000-0000-0000FA5F0000}"/>
    <cellStyle name="Output 3 11" xfId="24278" xr:uid="{00000000-0005-0000-0000-0000FB5F0000}"/>
    <cellStyle name="Output 3 12" xfId="24279" xr:uid="{00000000-0005-0000-0000-0000FC5F0000}"/>
    <cellStyle name="Output 3 13" xfId="24280" xr:uid="{00000000-0005-0000-0000-0000FD5F0000}"/>
    <cellStyle name="Output 3 14" xfId="24281" xr:uid="{00000000-0005-0000-0000-0000FE5F0000}"/>
    <cellStyle name="Output 3 15" xfId="24282" xr:uid="{00000000-0005-0000-0000-0000FF5F0000}"/>
    <cellStyle name="Output 3 16" xfId="24283" xr:uid="{00000000-0005-0000-0000-000000600000}"/>
    <cellStyle name="Output 3 2" xfId="24284" xr:uid="{00000000-0005-0000-0000-000001600000}"/>
    <cellStyle name="Output 3 2 2" xfId="24285" xr:uid="{00000000-0005-0000-0000-000002600000}"/>
    <cellStyle name="Output 3 2 2 2" xfId="24286" xr:uid="{00000000-0005-0000-0000-000003600000}"/>
    <cellStyle name="Output 3 2 2 3" xfId="24287" xr:uid="{00000000-0005-0000-0000-000004600000}"/>
    <cellStyle name="Output 3 2 2 4" xfId="24288" xr:uid="{00000000-0005-0000-0000-000005600000}"/>
    <cellStyle name="Output 3 2 2 5" xfId="24289" xr:uid="{00000000-0005-0000-0000-000006600000}"/>
    <cellStyle name="Output 3 2 2 6" xfId="24290" xr:uid="{00000000-0005-0000-0000-000007600000}"/>
    <cellStyle name="Output 3 2 2 7" xfId="24291" xr:uid="{00000000-0005-0000-0000-000008600000}"/>
    <cellStyle name="Output 3 2 3" xfId="24292" xr:uid="{00000000-0005-0000-0000-000009600000}"/>
    <cellStyle name="Output 3 2 4" xfId="24293" xr:uid="{00000000-0005-0000-0000-00000A600000}"/>
    <cellStyle name="Output 3 2 5" xfId="24294" xr:uid="{00000000-0005-0000-0000-00000B600000}"/>
    <cellStyle name="Output 3 2 6" xfId="24295" xr:uid="{00000000-0005-0000-0000-00000C600000}"/>
    <cellStyle name="Output 3 2 7" xfId="24296" xr:uid="{00000000-0005-0000-0000-00000D600000}"/>
    <cellStyle name="Output 3 3" xfId="24297" xr:uid="{00000000-0005-0000-0000-00000E600000}"/>
    <cellStyle name="Output 3 3 2" xfId="24298" xr:uid="{00000000-0005-0000-0000-00000F600000}"/>
    <cellStyle name="Output 3 3 2 2" xfId="24299" xr:uid="{00000000-0005-0000-0000-000010600000}"/>
    <cellStyle name="Output 3 3 2 3" xfId="24300" xr:uid="{00000000-0005-0000-0000-000011600000}"/>
    <cellStyle name="Output 3 3 2 4" xfId="24301" xr:uid="{00000000-0005-0000-0000-000012600000}"/>
    <cellStyle name="Output 3 3 2 5" xfId="24302" xr:uid="{00000000-0005-0000-0000-000013600000}"/>
    <cellStyle name="Output 3 3 2 6" xfId="24303" xr:uid="{00000000-0005-0000-0000-000014600000}"/>
    <cellStyle name="Output 3 3 2 7" xfId="24304" xr:uid="{00000000-0005-0000-0000-000015600000}"/>
    <cellStyle name="Output 3 3 3" xfId="24305" xr:uid="{00000000-0005-0000-0000-000016600000}"/>
    <cellStyle name="Output 3 3 4" xfId="24306" xr:uid="{00000000-0005-0000-0000-000017600000}"/>
    <cellStyle name="Output 3 3 5" xfId="24307" xr:uid="{00000000-0005-0000-0000-000018600000}"/>
    <cellStyle name="Output 3 3 6" xfId="24308" xr:uid="{00000000-0005-0000-0000-000019600000}"/>
    <cellStyle name="Output 3 3 7" xfId="24309" xr:uid="{00000000-0005-0000-0000-00001A600000}"/>
    <cellStyle name="Output 3 4" xfId="24310" xr:uid="{00000000-0005-0000-0000-00001B600000}"/>
    <cellStyle name="Output 3 4 2" xfId="24311" xr:uid="{00000000-0005-0000-0000-00001C600000}"/>
    <cellStyle name="Output 3 4 2 2" xfId="24312" xr:uid="{00000000-0005-0000-0000-00001D600000}"/>
    <cellStyle name="Output 3 4 2 3" xfId="24313" xr:uid="{00000000-0005-0000-0000-00001E600000}"/>
    <cellStyle name="Output 3 4 2 4" xfId="24314" xr:uid="{00000000-0005-0000-0000-00001F600000}"/>
    <cellStyle name="Output 3 4 2 5" xfId="24315" xr:uid="{00000000-0005-0000-0000-000020600000}"/>
    <cellStyle name="Output 3 4 2 6" xfId="24316" xr:uid="{00000000-0005-0000-0000-000021600000}"/>
    <cellStyle name="Output 3 4 2 7" xfId="24317" xr:uid="{00000000-0005-0000-0000-000022600000}"/>
    <cellStyle name="Output 3 4 3" xfId="24318" xr:uid="{00000000-0005-0000-0000-000023600000}"/>
    <cellStyle name="Output 3 4 4" xfId="24319" xr:uid="{00000000-0005-0000-0000-000024600000}"/>
    <cellStyle name="Output 3 4 5" xfId="24320" xr:uid="{00000000-0005-0000-0000-000025600000}"/>
    <cellStyle name="Output 3 4 6" xfId="24321" xr:uid="{00000000-0005-0000-0000-000026600000}"/>
    <cellStyle name="Output 3 4 7" xfId="24322" xr:uid="{00000000-0005-0000-0000-000027600000}"/>
    <cellStyle name="Output 3 5" xfId="24323" xr:uid="{00000000-0005-0000-0000-000028600000}"/>
    <cellStyle name="Output 3 5 2" xfId="24324" xr:uid="{00000000-0005-0000-0000-000029600000}"/>
    <cellStyle name="Output 3 5 2 2" xfId="24325" xr:uid="{00000000-0005-0000-0000-00002A600000}"/>
    <cellStyle name="Output 3 5 2 3" xfId="24326" xr:uid="{00000000-0005-0000-0000-00002B600000}"/>
    <cellStyle name="Output 3 5 2 4" xfId="24327" xr:uid="{00000000-0005-0000-0000-00002C600000}"/>
    <cellStyle name="Output 3 5 2 5" xfId="24328" xr:uid="{00000000-0005-0000-0000-00002D600000}"/>
    <cellStyle name="Output 3 5 2 6" xfId="24329" xr:uid="{00000000-0005-0000-0000-00002E600000}"/>
    <cellStyle name="Output 3 5 2 7" xfId="24330" xr:uid="{00000000-0005-0000-0000-00002F600000}"/>
    <cellStyle name="Output 3 5 3" xfId="24331" xr:uid="{00000000-0005-0000-0000-000030600000}"/>
    <cellStyle name="Output 3 5 4" xfId="24332" xr:uid="{00000000-0005-0000-0000-000031600000}"/>
    <cellStyle name="Output 3 5 5" xfId="24333" xr:uid="{00000000-0005-0000-0000-000032600000}"/>
    <cellStyle name="Output 3 5 6" xfId="24334" xr:uid="{00000000-0005-0000-0000-000033600000}"/>
    <cellStyle name="Output 3 5 7" xfId="24335" xr:uid="{00000000-0005-0000-0000-000034600000}"/>
    <cellStyle name="Output 3 6" xfId="24336" xr:uid="{00000000-0005-0000-0000-000035600000}"/>
    <cellStyle name="Output 3 6 2" xfId="24337" xr:uid="{00000000-0005-0000-0000-000036600000}"/>
    <cellStyle name="Output 3 6 2 2" xfId="24338" xr:uid="{00000000-0005-0000-0000-000037600000}"/>
    <cellStyle name="Output 3 6 2 3" xfId="24339" xr:uid="{00000000-0005-0000-0000-000038600000}"/>
    <cellStyle name="Output 3 6 2 4" xfId="24340" xr:uid="{00000000-0005-0000-0000-000039600000}"/>
    <cellStyle name="Output 3 6 2 5" xfId="24341" xr:uid="{00000000-0005-0000-0000-00003A600000}"/>
    <cellStyle name="Output 3 6 2 6" xfId="24342" xr:uid="{00000000-0005-0000-0000-00003B600000}"/>
    <cellStyle name="Output 3 6 2 7" xfId="24343" xr:uid="{00000000-0005-0000-0000-00003C600000}"/>
    <cellStyle name="Output 3 6 3" xfId="24344" xr:uid="{00000000-0005-0000-0000-00003D600000}"/>
    <cellStyle name="Output 3 6 4" xfId="24345" xr:uid="{00000000-0005-0000-0000-00003E600000}"/>
    <cellStyle name="Output 3 6 5" xfId="24346" xr:uid="{00000000-0005-0000-0000-00003F600000}"/>
    <cellStyle name="Output 3 6 6" xfId="24347" xr:uid="{00000000-0005-0000-0000-000040600000}"/>
    <cellStyle name="Output 3 6 7" xfId="24348" xr:uid="{00000000-0005-0000-0000-000041600000}"/>
    <cellStyle name="Output 3 7" xfId="24349" xr:uid="{00000000-0005-0000-0000-000042600000}"/>
    <cellStyle name="Output 3 7 2" xfId="24350" xr:uid="{00000000-0005-0000-0000-000043600000}"/>
    <cellStyle name="Output 3 7 2 2" xfId="24351" xr:uid="{00000000-0005-0000-0000-000044600000}"/>
    <cellStyle name="Output 3 7 2 3" xfId="24352" xr:uid="{00000000-0005-0000-0000-000045600000}"/>
    <cellStyle name="Output 3 7 2 4" xfId="24353" xr:uid="{00000000-0005-0000-0000-000046600000}"/>
    <cellStyle name="Output 3 7 2 5" xfId="24354" xr:uid="{00000000-0005-0000-0000-000047600000}"/>
    <cellStyle name="Output 3 7 2 6" xfId="24355" xr:uid="{00000000-0005-0000-0000-000048600000}"/>
    <cellStyle name="Output 3 7 2 7" xfId="24356" xr:uid="{00000000-0005-0000-0000-000049600000}"/>
    <cellStyle name="Output 3 7 3" xfId="24357" xr:uid="{00000000-0005-0000-0000-00004A600000}"/>
    <cellStyle name="Output 3 7 4" xfId="24358" xr:uid="{00000000-0005-0000-0000-00004B600000}"/>
    <cellStyle name="Output 3 7 5" xfId="24359" xr:uid="{00000000-0005-0000-0000-00004C600000}"/>
    <cellStyle name="Output 3 7 6" xfId="24360" xr:uid="{00000000-0005-0000-0000-00004D600000}"/>
    <cellStyle name="Output 3 7 7" xfId="24361" xr:uid="{00000000-0005-0000-0000-00004E600000}"/>
    <cellStyle name="Output 3 8" xfId="24362" xr:uid="{00000000-0005-0000-0000-00004F600000}"/>
    <cellStyle name="Output 3 8 2" xfId="24363" xr:uid="{00000000-0005-0000-0000-000050600000}"/>
    <cellStyle name="Output 3 8 2 2" xfId="24364" xr:uid="{00000000-0005-0000-0000-000051600000}"/>
    <cellStyle name="Output 3 8 2 3" xfId="24365" xr:uid="{00000000-0005-0000-0000-000052600000}"/>
    <cellStyle name="Output 3 8 2 4" xfId="24366" xr:uid="{00000000-0005-0000-0000-000053600000}"/>
    <cellStyle name="Output 3 8 2 5" xfId="24367" xr:uid="{00000000-0005-0000-0000-000054600000}"/>
    <cellStyle name="Output 3 8 2 6" xfId="24368" xr:uid="{00000000-0005-0000-0000-000055600000}"/>
    <cellStyle name="Output 3 8 2 7" xfId="24369" xr:uid="{00000000-0005-0000-0000-000056600000}"/>
    <cellStyle name="Output 3 8 3" xfId="24370" xr:uid="{00000000-0005-0000-0000-000057600000}"/>
    <cellStyle name="Output 3 8 4" xfId="24371" xr:uid="{00000000-0005-0000-0000-000058600000}"/>
    <cellStyle name="Output 3 8 5" xfId="24372" xr:uid="{00000000-0005-0000-0000-000059600000}"/>
    <cellStyle name="Output 3 8 6" xfId="24373" xr:uid="{00000000-0005-0000-0000-00005A600000}"/>
    <cellStyle name="Output 3 8 7" xfId="24374" xr:uid="{00000000-0005-0000-0000-00005B600000}"/>
    <cellStyle name="Output 3 9" xfId="24375" xr:uid="{00000000-0005-0000-0000-00005C600000}"/>
    <cellStyle name="Output 3 9 2" xfId="24376" xr:uid="{00000000-0005-0000-0000-00005D600000}"/>
    <cellStyle name="Output 3 9 3" xfId="24377" xr:uid="{00000000-0005-0000-0000-00005E600000}"/>
    <cellStyle name="Output 3 9 4" xfId="24378" xr:uid="{00000000-0005-0000-0000-00005F600000}"/>
    <cellStyle name="Output 3 9 5" xfId="24379" xr:uid="{00000000-0005-0000-0000-000060600000}"/>
    <cellStyle name="Output 3 9 6" xfId="24380" xr:uid="{00000000-0005-0000-0000-000061600000}"/>
    <cellStyle name="Output 3 9 7" xfId="24381" xr:uid="{00000000-0005-0000-0000-000062600000}"/>
    <cellStyle name="Output 30" xfId="24382" xr:uid="{00000000-0005-0000-0000-000063600000}"/>
    <cellStyle name="Output 30 2" xfId="24383" xr:uid="{00000000-0005-0000-0000-000064600000}"/>
    <cellStyle name="Output 30 3" xfId="24384" xr:uid="{00000000-0005-0000-0000-000065600000}"/>
    <cellStyle name="Output 30 4" xfId="24385" xr:uid="{00000000-0005-0000-0000-000066600000}"/>
    <cellStyle name="Output 30 5" xfId="24386" xr:uid="{00000000-0005-0000-0000-000067600000}"/>
    <cellStyle name="Output 30 6" xfId="24387" xr:uid="{00000000-0005-0000-0000-000068600000}"/>
    <cellStyle name="Output 30 7" xfId="24388" xr:uid="{00000000-0005-0000-0000-000069600000}"/>
    <cellStyle name="Output 30 8" xfId="24389" xr:uid="{00000000-0005-0000-0000-00006A600000}"/>
    <cellStyle name="Output 30 9" xfId="24390" xr:uid="{00000000-0005-0000-0000-00006B600000}"/>
    <cellStyle name="Output 31" xfId="24391" xr:uid="{00000000-0005-0000-0000-00006C600000}"/>
    <cellStyle name="Output 31 2" xfId="24392" xr:uid="{00000000-0005-0000-0000-00006D600000}"/>
    <cellStyle name="Output 31 3" xfId="24393" xr:uid="{00000000-0005-0000-0000-00006E600000}"/>
    <cellStyle name="Output 31 4" xfId="24394" xr:uid="{00000000-0005-0000-0000-00006F600000}"/>
    <cellStyle name="Output 31 5" xfId="24395" xr:uid="{00000000-0005-0000-0000-000070600000}"/>
    <cellStyle name="Output 31 6" xfId="24396" xr:uid="{00000000-0005-0000-0000-000071600000}"/>
    <cellStyle name="Output 31 7" xfId="24397" xr:uid="{00000000-0005-0000-0000-000072600000}"/>
    <cellStyle name="Output 31 8" xfId="24398" xr:uid="{00000000-0005-0000-0000-000073600000}"/>
    <cellStyle name="Output 31 9" xfId="24399" xr:uid="{00000000-0005-0000-0000-000074600000}"/>
    <cellStyle name="Output 32" xfId="24400" xr:uid="{00000000-0005-0000-0000-000075600000}"/>
    <cellStyle name="Output 32 2" xfId="24401" xr:uid="{00000000-0005-0000-0000-000076600000}"/>
    <cellStyle name="Output 32 3" xfId="24402" xr:uid="{00000000-0005-0000-0000-000077600000}"/>
    <cellStyle name="Output 32 4" xfId="24403" xr:uid="{00000000-0005-0000-0000-000078600000}"/>
    <cellStyle name="Output 32 5" xfId="24404" xr:uid="{00000000-0005-0000-0000-000079600000}"/>
    <cellStyle name="Output 32 6" xfId="24405" xr:uid="{00000000-0005-0000-0000-00007A600000}"/>
    <cellStyle name="Output 32 7" xfId="24406" xr:uid="{00000000-0005-0000-0000-00007B600000}"/>
    <cellStyle name="Output 32 8" xfId="24407" xr:uid="{00000000-0005-0000-0000-00007C600000}"/>
    <cellStyle name="Output 32 9" xfId="24408" xr:uid="{00000000-0005-0000-0000-00007D600000}"/>
    <cellStyle name="Output 33" xfId="24409" xr:uid="{00000000-0005-0000-0000-00007E600000}"/>
    <cellStyle name="Output 33 2" xfId="24410" xr:uid="{00000000-0005-0000-0000-00007F600000}"/>
    <cellStyle name="Output 33 3" xfId="24411" xr:uid="{00000000-0005-0000-0000-000080600000}"/>
    <cellStyle name="Output 33 4" xfId="24412" xr:uid="{00000000-0005-0000-0000-000081600000}"/>
    <cellStyle name="Output 33 5" xfId="24413" xr:uid="{00000000-0005-0000-0000-000082600000}"/>
    <cellStyle name="Output 33 6" xfId="24414" xr:uid="{00000000-0005-0000-0000-000083600000}"/>
    <cellStyle name="Output 33 7" xfId="24415" xr:uid="{00000000-0005-0000-0000-000084600000}"/>
    <cellStyle name="Output 33 8" xfId="24416" xr:uid="{00000000-0005-0000-0000-000085600000}"/>
    <cellStyle name="Output 33 9" xfId="24417" xr:uid="{00000000-0005-0000-0000-000086600000}"/>
    <cellStyle name="Output 34" xfId="24418" xr:uid="{00000000-0005-0000-0000-000087600000}"/>
    <cellStyle name="Output 34 2" xfId="24419" xr:uid="{00000000-0005-0000-0000-000088600000}"/>
    <cellStyle name="Output 34 3" xfId="24420" xr:uid="{00000000-0005-0000-0000-000089600000}"/>
    <cellStyle name="Output 34 4" xfId="24421" xr:uid="{00000000-0005-0000-0000-00008A600000}"/>
    <cellStyle name="Output 34 5" xfId="24422" xr:uid="{00000000-0005-0000-0000-00008B600000}"/>
    <cellStyle name="Output 34 6" xfId="24423" xr:uid="{00000000-0005-0000-0000-00008C600000}"/>
    <cellStyle name="Output 34 7" xfId="24424" xr:uid="{00000000-0005-0000-0000-00008D600000}"/>
    <cellStyle name="Output 34 8" xfId="24425" xr:uid="{00000000-0005-0000-0000-00008E600000}"/>
    <cellStyle name="Output 34 9" xfId="24426" xr:uid="{00000000-0005-0000-0000-00008F600000}"/>
    <cellStyle name="Output 35" xfId="24427" xr:uid="{00000000-0005-0000-0000-000090600000}"/>
    <cellStyle name="Output 35 2" xfId="24428" xr:uid="{00000000-0005-0000-0000-000091600000}"/>
    <cellStyle name="Output 35 3" xfId="24429" xr:uid="{00000000-0005-0000-0000-000092600000}"/>
    <cellStyle name="Output 35 4" xfId="24430" xr:uid="{00000000-0005-0000-0000-000093600000}"/>
    <cellStyle name="Output 35 5" xfId="24431" xr:uid="{00000000-0005-0000-0000-000094600000}"/>
    <cellStyle name="Output 35 6" xfId="24432" xr:uid="{00000000-0005-0000-0000-000095600000}"/>
    <cellStyle name="Output 35 7" xfId="24433" xr:uid="{00000000-0005-0000-0000-000096600000}"/>
    <cellStyle name="Output 35 8" xfId="24434" xr:uid="{00000000-0005-0000-0000-000097600000}"/>
    <cellStyle name="Output 35 9" xfId="24435" xr:uid="{00000000-0005-0000-0000-000098600000}"/>
    <cellStyle name="Output 36" xfId="24436" xr:uid="{00000000-0005-0000-0000-000099600000}"/>
    <cellStyle name="Output 36 2" xfId="24437" xr:uid="{00000000-0005-0000-0000-00009A600000}"/>
    <cellStyle name="Output 36 3" xfId="24438" xr:uid="{00000000-0005-0000-0000-00009B600000}"/>
    <cellStyle name="Output 36 4" xfId="24439" xr:uid="{00000000-0005-0000-0000-00009C600000}"/>
    <cellStyle name="Output 36 5" xfId="24440" xr:uid="{00000000-0005-0000-0000-00009D600000}"/>
    <cellStyle name="Output 36 6" xfId="24441" xr:uid="{00000000-0005-0000-0000-00009E600000}"/>
    <cellStyle name="Output 36 7" xfId="24442" xr:uid="{00000000-0005-0000-0000-00009F600000}"/>
    <cellStyle name="Output 36 8" xfId="24443" xr:uid="{00000000-0005-0000-0000-0000A0600000}"/>
    <cellStyle name="Output 36 9" xfId="24444" xr:uid="{00000000-0005-0000-0000-0000A1600000}"/>
    <cellStyle name="Output 37" xfId="24445" xr:uid="{00000000-0005-0000-0000-0000A2600000}"/>
    <cellStyle name="Output 37 2" xfId="24446" xr:uid="{00000000-0005-0000-0000-0000A3600000}"/>
    <cellStyle name="Output 37 3" xfId="24447" xr:uid="{00000000-0005-0000-0000-0000A4600000}"/>
    <cellStyle name="Output 37 4" xfId="24448" xr:uid="{00000000-0005-0000-0000-0000A5600000}"/>
    <cellStyle name="Output 37 5" xfId="24449" xr:uid="{00000000-0005-0000-0000-0000A6600000}"/>
    <cellStyle name="Output 37 6" xfId="24450" xr:uid="{00000000-0005-0000-0000-0000A7600000}"/>
    <cellStyle name="Output 37 7" xfId="24451" xr:uid="{00000000-0005-0000-0000-0000A8600000}"/>
    <cellStyle name="Output 37 8" xfId="24452" xr:uid="{00000000-0005-0000-0000-0000A9600000}"/>
    <cellStyle name="Output 37 9" xfId="24453" xr:uid="{00000000-0005-0000-0000-0000AA600000}"/>
    <cellStyle name="Output 38" xfId="24454" xr:uid="{00000000-0005-0000-0000-0000AB600000}"/>
    <cellStyle name="Output 38 2" xfId="24455" xr:uid="{00000000-0005-0000-0000-0000AC600000}"/>
    <cellStyle name="Output 38 3" xfId="24456" xr:uid="{00000000-0005-0000-0000-0000AD600000}"/>
    <cellStyle name="Output 38 4" xfId="24457" xr:uid="{00000000-0005-0000-0000-0000AE600000}"/>
    <cellStyle name="Output 38 5" xfId="24458" xr:uid="{00000000-0005-0000-0000-0000AF600000}"/>
    <cellStyle name="Output 38 6" xfId="24459" xr:uid="{00000000-0005-0000-0000-0000B0600000}"/>
    <cellStyle name="Output 38 7" xfId="24460" xr:uid="{00000000-0005-0000-0000-0000B1600000}"/>
    <cellStyle name="Output 38 8" xfId="24461" xr:uid="{00000000-0005-0000-0000-0000B2600000}"/>
    <cellStyle name="Output 38 9" xfId="24462" xr:uid="{00000000-0005-0000-0000-0000B3600000}"/>
    <cellStyle name="Output 39" xfId="24463" xr:uid="{00000000-0005-0000-0000-0000B4600000}"/>
    <cellStyle name="Output 39 2" xfId="24464" xr:uid="{00000000-0005-0000-0000-0000B5600000}"/>
    <cellStyle name="Output 39 3" xfId="24465" xr:uid="{00000000-0005-0000-0000-0000B6600000}"/>
    <cellStyle name="Output 39 4" xfId="24466" xr:uid="{00000000-0005-0000-0000-0000B7600000}"/>
    <cellStyle name="Output 39 5" xfId="24467" xr:uid="{00000000-0005-0000-0000-0000B8600000}"/>
    <cellStyle name="Output 39 6" xfId="24468" xr:uid="{00000000-0005-0000-0000-0000B9600000}"/>
    <cellStyle name="Output 39 7" xfId="24469" xr:uid="{00000000-0005-0000-0000-0000BA600000}"/>
    <cellStyle name="Output 39 8" xfId="24470" xr:uid="{00000000-0005-0000-0000-0000BB600000}"/>
    <cellStyle name="Output 39 9" xfId="24471" xr:uid="{00000000-0005-0000-0000-0000BC600000}"/>
    <cellStyle name="Output 4" xfId="24472" xr:uid="{00000000-0005-0000-0000-0000BD600000}"/>
    <cellStyle name="Output 4 10" xfId="24473" xr:uid="{00000000-0005-0000-0000-0000BE600000}"/>
    <cellStyle name="Output 4 11" xfId="24474" xr:uid="{00000000-0005-0000-0000-0000BF600000}"/>
    <cellStyle name="Output 4 12" xfId="24475" xr:uid="{00000000-0005-0000-0000-0000C0600000}"/>
    <cellStyle name="Output 4 13" xfId="24476" xr:uid="{00000000-0005-0000-0000-0000C1600000}"/>
    <cellStyle name="Output 4 14" xfId="24477" xr:uid="{00000000-0005-0000-0000-0000C2600000}"/>
    <cellStyle name="Output 4 15" xfId="24478" xr:uid="{00000000-0005-0000-0000-0000C3600000}"/>
    <cellStyle name="Output 4 2" xfId="24479" xr:uid="{00000000-0005-0000-0000-0000C4600000}"/>
    <cellStyle name="Output 4 2 2" xfId="24480" xr:uid="{00000000-0005-0000-0000-0000C5600000}"/>
    <cellStyle name="Output 4 2 2 2" xfId="24481" xr:uid="{00000000-0005-0000-0000-0000C6600000}"/>
    <cellStyle name="Output 4 2 2 3" xfId="24482" xr:uid="{00000000-0005-0000-0000-0000C7600000}"/>
    <cellStyle name="Output 4 2 2 4" xfId="24483" xr:uid="{00000000-0005-0000-0000-0000C8600000}"/>
    <cellStyle name="Output 4 2 2 5" xfId="24484" xr:uid="{00000000-0005-0000-0000-0000C9600000}"/>
    <cellStyle name="Output 4 2 2 6" xfId="24485" xr:uid="{00000000-0005-0000-0000-0000CA600000}"/>
    <cellStyle name="Output 4 2 2 7" xfId="24486" xr:uid="{00000000-0005-0000-0000-0000CB600000}"/>
    <cellStyle name="Output 4 2 3" xfId="24487" xr:uid="{00000000-0005-0000-0000-0000CC600000}"/>
    <cellStyle name="Output 4 2 4" xfId="24488" xr:uid="{00000000-0005-0000-0000-0000CD600000}"/>
    <cellStyle name="Output 4 2 5" xfId="24489" xr:uid="{00000000-0005-0000-0000-0000CE600000}"/>
    <cellStyle name="Output 4 2 6" xfId="24490" xr:uid="{00000000-0005-0000-0000-0000CF600000}"/>
    <cellStyle name="Output 4 2 7" xfId="24491" xr:uid="{00000000-0005-0000-0000-0000D0600000}"/>
    <cellStyle name="Output 4 3" xfId="24492" xr:uid="{00000000-0005-0000-0000-0000D1600000}"/>
    <cellStyle name="Output 4 3 2" xfId="24493" xr:uid="{00000000-0005-0000-0000-0000D2600000}"/>
    <cellStyle name="Output 4 3 2 2" xfId="24494" xr:uid="{00000000-0005-0000-0000-0000D3600000}"/>
    <cellStyle name="Output 4 3 2 3" xfId="24495" xr:uid="{00000000-0005-0000-0000-0000D4600000}"/>
    <cellStyle name="Output 4 3 2 4" xfId="24496" xr:uid="{00000000-0005-0000-0000-0000D5600000}"/>
    <cellStyle name="Output 4 3 2 5" xfId="24497" xr:uid="{00000000-0005-0000-0000-0000D6600000}"/>
    <cellStyle name="Output 4 3 2 6" xfId="24498" xr:uid="{00000000-0005-0000-0000-0000D7600000}"/>
    <cellStyle name="Output 4 3 2 7" xfId="24499" xr:uid="{00000000-0005-0000-0000-0000D8600000}"/>
    <cellStyle name="Output 4 3 3" xfId="24500" xr:uid="{00000000-0005-0000-0000-0000D9600000}"/>
    <cellStyle name="Output 4 3 4" xfId="24501" xr:uid="{00000000-0005-0000-0000-0000DA600000}"/>
    <cellStyle name="Output 4 3 5" xfId="24502" xr:uid="{00000000-0005-0000-0000-0000DB600000}"/>
    <cellStyle name="Output 4 3 6" xfId="24503" xr:uid="{00000000-0005-0000-0000-0000DC600000}"/>
    <cellStyle name="Output 4 3 7" xfId="24504" xr:uid="{00000000-0005-0000-0000-0000DD600000}"/>
    <cellStyle name="Output 4 4" xfId="24505" xr:uid="{00000000-0005-0000-0000-0000DE600000}"/>
    <cellStyle name="Output 4 4 2" xfId="24506" xr:uid="{00000000-0005-0000-0000-0000DF600000}"/>
    <cellStyle name="Output 4 4 2 2" xfId="24507" xr:uid="{00000000-0005-0000-0000-0000E0600000}"/>
    <cellStyle name="Output 4 4 2 3" xfId="24508" xr:uid="{00000000-0005-0000-0000-0000E1600000}"/>
    <cellStyle name="Output 4 4 2 4" xfId="24509" xr:uid="{00000000-0005-0000-0000-0000E2600000}"/>
    <cellStyle name="Output 4 4 2 5" xfId="24510" xr:uid="{00000000-0005-0000-0000-0000E3600000}"/>
    <cellStyle name="Output 4 4 2 6" xfId="24511" xr:uid="{00000000-0005-0000-0000-0000E4600000}"/>
    <cellStyle name="Output 4 4 2 7" xfId="24512" xr:uid="{00000000-0005-0000-0000-0000E5600000}"/>
    <cellStyle name="Output 4 4 3" xfId="24513" xr:uid="{00000000-0005-0000-0000-0000E6600000}"/>
    <cellStyle name="Output 4 4 4" xfId="24514" xr:uid="{00000000-0005-0000-0000-0000E7600000}"/>
    <cellStyle name="Output 4 4 5" xfId="24515" xr:uid="{00000000-0005-0000-0000-0000E8600000}"/>
    <cellStyle name="Output 4 4 6" xfId="24516" xr:uid="{00000000-0005-0000-0000-0000E9600000}"/>
    <cellStyle name="Output 4 4 7" xfId="24517" xr:uid="{00000000-0005-0000-0000-0000EA600000}"/>
    <cellStyle name="Output 4 5" xfId="24518" xr:uid="{00000000-0005-0000-0000-0000EB600000}"/>
    <cellStyle name="Output 4 5 2" xfId="24519" xr:uid="{00000000-0005-0000-0000-0000EC600000}"/>
    <cellStyle name="Output 4 5 2 2" xfId="24520" xr:uid="{00000000-0005-0000-0000-0000ED600000}"/>
    <cellStyle name="Output 4 5 2 3" xfId="24521" xr:uid="{00000000-0005-0000-0000-0000EE600000}"/>
    <cellStyle name="Output 4 5 2 4" xfId="24522" xr:uid="{00000000-0005-0000-0000-0000EF600000}"/>
    <cellStyle name="Output 4 5 2 5" xfId="24523" xr:uid="{00000000-0005-0000-0000-0000F0600000}"/>
    <cellStyle name="Output 4 5 2 6" xfId="24524" xr:uid="{00000000-0005-0000-0000-0000F1600000}"/>
    <cellStyle name="Output 4 5 2 7" xfId="24525" xr:uid="{00000000-0005-0000-0000-0000F2600000}"/>
    <cellStyle name="Output 4 5 3" xfId="24526" xr:uid="{00000000-0005-0000-0000-0000F3600000}"/>
    <cellStyle name="Output 4 5 4" xfId="24527" xr:uid="{00000000-0005-0000-0000-0000F4600000}"/>
    <cellStyle name="Output 4 5 5" xfId="24528" xr:uid="{00000000-0005-0000-0000-0000F5600000}"/>
    <cellStyle name="Output 4 5 6" xfId="24529" xr:uid="{00000000-0005-0000-0000-0000F6600000}"/>
    <cellStyle name="Output 4 5 7" xfId="24530" xr:uid="{00000000-0005-0000-0000-0000F7600000}"/>
    <cellStyle name="Output 4 6" xfId="24531" xr:uid="{00000000-0005-0000-0000-0000F8600000}"/>
    <cellStyle name="Output 4 6 2" xfId="24532" xr:uid="{00000000-0005-0000-0000-0000F9600000}"/>
    <cellStyle name="Output 4 6 2 2" xfId="24533" xr:uid="{00000000-0005-0000-0000-0000FA600000}"/>
    <cellStyle name="Output 4 6 2 3" xfId="24534" xr:uid="{00000000-0005-0000-0000-0000FB600000}"/>
    <cellStyle name="Output 4 6 2 4" xfId="24535" xr:uid="{00000000-0005-0000-0000-0000FC600000}"/>
    <cellStyle name="Output 4 6 2 5" xfId="24536" xr:uid="{00000000-0005-0000-0000-0000FD600000}"/>
    <cellStyle name="Output 4 6 2 6" xfId="24537" xr:uid="{00000000-0005-0000-0000-0000FE600000}"/>
    <cellStyle name="Output 4 6 2 7" xfId="24538" xr:uid="{00000000-0005-0000-0000-0000FF600000}"/>
    <cellStyle name="Output 4 6 3" xfId="24539" xr:uid="{00000000-0005-0000-0000-000000610000}"/>
    <cellStyle name="Output 4 6 4" xfId="24540" xr:uid="{00000000-0005-0000-0000-000001610000}"/>
    <cellStyle name="Output 4 6 5" xfId="24541" xr:uid="{00000000-0005-0000-0000-000002610000}"/>
    <cellStyle name="Output 4 6 6" xfId="24542" xr:uid="{00000000-0005-0000-0000-000003610000}"/>
    <cellStyle name="Output 4 6 7" xfId="24543" xr:uid="{00000000-0005-0000-0000-000004610000}"/>
    <cellStyle name="Output 4 7" xfId="24544" xr:uid="{00000000-0005-0000-0000-000005610000}"/>
    <cellStyle name="Output 4 7 2" xfId="24545" xr:uid="{00000000-0005-0000-0000-000006610000}"/>
    <cellStyle name="Output 4 7 2 2" xfId="24546" xr:uid="{00000000-0005-0000-0000-000007610000}"/>
    <cellStyle name="Output 4 7 2 3" xfId="24547" xr:uid="{00000000-0005-0000-0000-000008610000}"/>
    <cellStyle name="Output 4 7 2 4" xfId="24548" xr:uid="{00000000-0005-0000-0000-000009610000}"/>
    <cellStyle name="Output 4 7 2 5" xfId="24549" xr:uid="{00000000-0005-0000-0000-00000A610000}"/>
    <cellStyle name="Output 4 7 2 6" xfId="24550" xr:uid="{00000000-0005-0000-0000-00000B610000}"/>
    <cellStyle name="Output 4 7 2 7" xfId="24551" xr:uid="{00000000-0005-0000-0000-00000C610000}"/>
    <cellStyle name="Output 4 7 3" xfId="24552" xr:uid="{00000000-0005-0000-0000-00000D610000}"/>
    <cellStyle name="Output 4 7 4" xfId="24553" xr:uid="{00000000-0005-0000-0000-00000E610000}"/>
    <cellStyle name="Output 4 7 5" xfId="24554" xr:uid="{00000000-0005-0000-0000-00000F610000}"/>
    <cellStyle name="Output 4 7 6" xfId="24555" xr:uid="{00000000-0005-0000-0000-000010610000}"/>
    <cellStyle name="Output 4 7 7" xfId="24556" xr:uid="{00000000-0005-0000-0000-000011610000}"/>
    <cellStyle name="Output 4 8" xfId="24557" xr:uid="{00000000-0005-0000-0000-000012610000}"/>
    <cellStyle name="Output 4 8 2" xfId="24558" xr:uid="{00000000-0005-0000-0000-000013610000}"/>
    <cellStyle name="Output 4 8 2 2" xfId="24559" xr:uid="{00000000-0005-0000-0000-000014610000}"/>
    <cellStyle name="Output 4 8 2 3" xfId="24560" xr:uid="{00000000-0005-0000-0000-000015610000}"/>
    <cellStyle name="Output 4 8 2 4" xfId="24561" xr:uid="{00000000-0005-0000-0000-000016610000}"/>
    <cellStyle name="Output 4 8 2 5" xfId="24562" xr:uid="{00000000-0005-0000-0000-000017610000}"/>
    <cellStyle name="Output 4 8 2 6" xfId="24563" xr:uid="{00000000-0005-0000-0000-000018610000}"/>
    <cellStyle name="Output 4 8 2 7" xfId="24564" xr:uid="{00000000-0005-0000-0000-000019610000}"/>
    <cellStyle name="Output 4 8 3" xfId="24565" xr:uid="{00000000-0005-0000-0000-00001A610000}"/>
    <cellStyle name="Output 4 8 4" xfId="24566" xr:uid="{00000000-0005-0000-0000-00001B610000}"/>
    <cellStyle name="Output 4 8 5" xfId="24567" xr:uid="{00000000-0005-0000-0000-00001C610000}"/>
    <cellStyle name="Output 4 8 6" xfId="24568" xr:uid="{00000000-0005-0000-0000-00001D610000}"/>
    <cellStyle name="Output 4 8 7" xfId="24569" xr:uid="{00000000-0005-0000-0000-00001E610000}"/>
    <cellStyle name="Output 4 9" xfId="24570" xr:uid="{00000000-0005-0000-0000-00001F610000}"/>
    <cellStyle name="Output 4 9 2" xfId="24571" xr:uid="{00000000-0005-0000-0000-000020610000}"/>
    <cellStyle name="Output 4 9 3" xfId="24572" xr:uid="{00000000-0005-0000-0000-000021610000}"/>
    <cellStyle name="Output 4 9 4" xfId="24573" xr:uid="{00000000-0005-0000-0000-000022610000}"/>
    <cellStyle name="Output 4 9 5" xfId="24574" xr:uid="{00000000-0005-0000-0000-000023610000}"/>
    <cellStyle name="Output 4 9 6" xfId="24575" xr:uid="{00000000-0005-0000-0000-000024610000}"/>
    <cellStyle name="Output 4 9 7" xfId="24576" xr:uid="{00000000-0005-0000-0000-000025610000}"/>
    <cellStyle name="Output 40" xfId="24577" xr:uid="{00000000-0005-0000-0000-000026610000}"/>
    <cellStyle name="Output 40 2" xfId="24578" xr:uid="{00000000-0005-0000-0000-000027610000}"/>
    <cellStyle name="Output 40 3" xfId="24579" xr:uid="{00000000-0005-0000-0000-000028610000}"/>
    <cellStyle name="Output 40 4" xfId="24580" xr:uid="{00000000-0005-0000-0000-000029610000}"/>
    <cellStyle name="Output 40 5" xfId="24581" xr:uid="{00000000-0005-0000-0000-00002A610000}"/>
    <cellStyle name="Output 40 6" xfId="24582" xr:uid="{00000000-0005-0000-0000-00002B610000}"/>
    <cellStyle name="Output 40 7" xfId="24583" xr:uid="{00000000-0005-0000-0000-00002C610000}"/>
    <cellStyle name="Output 40 8" xfId="24584" xr:uid="{00000000-0005-0000-0000-00002D610000}"/>
    <cellStyle name="Output 40 9" xfId="24585" xr:uid="{00000000-0005-0000-0000-00002E610000}"/>
    <cellStyle name="Output 41" xfId="24586" xr:uid="{00000000-0005-0000-0000-00002F610000}"/>
    <cellStyle name="Output 41 2" xfId="24587" xr:uid="{00000000-0005-0000-0000-000030610000}"/>
    <cellStyle name="Output 41 3" xfId="24588" xr:uid="{00000000-0005-0000-0000-000031610000}"/>
    <cellStyle name="Output 41 4" xfId="24589" xr:uid="{00000000-0005-0000-0000-000032610000}"/>
    <cellStyle name="Output 41 5" xfId="24590" xr:uid="{00000000-0005-0000-0000-000033610000}"/>
    <cellStyle name="Output 41 6" xfId="24591" xr:uid="{00000000-0005-0000-0000-000034610000}"/>
    <cellStyle name="Output 41 7" xfId="24592" xr:uid="{00000000-0005-0000-0000-000035610000}"/>
    <cellStyle name="Output 41 8" xfId="24593" xr:uid="{00000000-0005-0000-0000-000036610000}"/>
    <cellStyle name="Output 41 9" xfId="24594" xr:uid="{00000000-0005-0000-0000-000037610000}"/>
    <cellStyle name="Output 42" xfId="24595" xr:uid="{00000000-0005-0000-0000-000038610000}"/>
    <cellStyle name="Output 42 2" xfId="24596" xr:uid="{00000000-0005-0000-0000-000039610000}"/>
    <cellStyle name="Output 42 3" xfId="24597" xr:uid="{00000000-0005-0000-0000-00003A610000}"/>
    <cellStyle name="Output 42 4" xfId="24598" xr:uid="{00000000-0005-0000-0000-00003B610000}"/>
    <cellStyle name="Output 42 5" xfId="24599" xr:uid="{00000000-0005-0000-0000-00003C610000}"/>
    <cellStyle name="Output 42 6" xfId="24600" xr:uid="{00000000-0005-0000-0000-00003D610000}"/>
    <cellStyle name="Output 42 7" xfId="24601" xr:uid="{00000000-0005-0000-0000-00003E610000}"/>
    <cellStyle name="Output 42 8" xfId="24602" xr:uid="{00000000-0005-0000-0000-00003F610000}"/>
    <cellStyle name="Output 42 9" xfId="24603" xr:uid="{00000000-0005-0000-0000-000040610000}"/>
    <cellStyle name="Output 43" xfId="24604" xr:uid="{00000000-0005-0000-0000-000041610000}"/>
    <cellStyle name="Output 43 2" xfId="24605" xr:uid="{00000000-0005-0000-0000-000042610000}"/>
    <cellStyle name="Output 43 3" xfId="24606" xr:uid="{00000000-0005-0000-0000-000043610000}"/>
    <cellStyle name="Output 43 4" xfId="24607" xr:uid="{00000000-0005-0000-0000-000044610000}"/>
    <cellStyle name="Output 43 5" xfId="24608" xr:uid="{00000000-0005-0000-0000-000045610000}"/>
    <cellStyle name="Output 43 6" xfId="24609" xr:uid="{00000000-0005-0000-0000-000046610000}"/>
    <cellStyle name="Output 43 7" xfId="24610" xr:uid="{00000000-0005-0000-0000-000047610000}"/>
    <cellStyle name="Output 43 8" xfId="24611" xr:uid="{00000000-0005-0000-0000-000048610000}"/>
    <cellStyle name="Output 43 9" xfId="24612" xr:uid="{00000000-0005-0000-0000-000049610000}"/>
    <cellStyle name="Output 44" xfId="24613" xr:uid="{00000000-0005-0000-0000-00004A610000}"/>
    <cellStyle name="Output 44 2" xfId="24614" xr:uid="{00000000-0005-0000-0000-00004B610000}"/>
    <cellStyle name="Output 44 3" xfId="24615" xr:uid="{00000000-0005-0000-0000-00004C610000}"/>
    <cellStyle name="Output 44 4" xfId="24616" xr:uid="{00000000-0005-0000-0000-00004D610000}"/>
    <cellStyle name="Output 44 5" xfId="24617" xr:uid="{00000000-0005-0000-0000-00004E610000}"/>
    <cellStyle name="Output 44 6" xfId="24618" xr:uid="{00000000-0005-0000-0000-00004F610000}"/>
    <cellStyle name="Output 44 7" xfId="24619" xr:uid="{00000000-0005-0000-0000-000050610000}"/>
    <cellStyle name="Output 44 8" xfId="24620" xr:uid="{00000000-0005-0000-0000-000051610000}"/>
    <cellStyle name="Output 44 9" xfId="24621" xr:uid="{00000000-0005-0000-0000-000052610000}"/>
    <cellStyle name="Output 45" xfId="24622" xr:uid="{00000000-0005-0000-0000-000053610000}"/>
    <cellStyle name="Output 45 2" xfId="24623" xr:uid="{00000000-0005-0000-0000-000054610000}"/>
    <cellStyle name="Output 45 3" xfId="24624" xr:uid="{00000000-0005-0000-0000-000055610000}"/>
    <cellStyle name="Output 45 4" xfId="24625" xr:uid="{00000000-0005-0000-0000-000056610000}"/>
    <cellStyle name="Output 45 5" xfId="24626" xr:uid="{00000000-0005-0000-0000-000057610000}"/>
    <cellStyle name="Output 45 6" xfId="24627" xr:uid="{00000000-0005-0000-0000-000058610000}"/>
    <cellStyle name="Output 45 7" xfId="24628" xr:uid="{00000000-0005-0000-0000-000059610000}"/>
    <cellStyle name="Output 45 8" xfId="24629" xr:uid="{00000000-0005-0000-0000-00005A610000}"/>
    <cellStyle name="Output 45 9" xfId="24630" xr:uid="{00000000-0005-0000-0000-00005B610000}"/>
    <cellStyle name="Output 46" xfId="24631" xr:uid="{00000000-0005-0000-0000-00005C610000}"/>
    <cellStyle name="Output 46 2" xfId="24632" xr:uid="{00000000-0005-0000-0000-00005D610000}"/>
    <cellStyle name="Output 46 3" xfId="24633" xr:uid="{00000000-0005-0000-0000-00005E610000}"/>
    <cellStyle name="Output 46 4" xfId="24634" xr:uid="{00000000-0005-0000-0000-00005F610000}"/>
    <cellStyle name="Output 46 5" xfId="24635" xr:uid="{00000000-0005-0000-0000-000060610000}"/>
    <cellStyle name="Output 46 6" xfId="24636" xr:uid="{00000000-0005-0000-0000-000061610000}"/>
    <cellStyle name="Output 46 7" xfId="24637" xr:uid="{00000000-0005-0000-0000-000062610000}"/>
    <cellStyle name="Output 46 8" xfId="24638" xr:uid="{00000000-0005-0000-0000-000063610000}"/>
    <cellStyle name="Output 46 9" xfId="24639" xr:uid="{00000000-0005-0000-0000-000064610000}"/>
    <cellStyle name="Output 47" xfId="24640" xr:uid="{00000000-0005-0000-0000-000065610000}"/>
    <cellStyle name="Output 47 2" xfId="24641" xr:uid="{00000000-0005-0000-0000-000066610000}"/>
    <cellStyle name="Output 47 3" xfId="24642" xr:uid="{00000000-0005-0000-0000-000067610000}"/>
    <cellStyle name="Output 47 4" xfId="24643" xr:uid="{00000000-0005-0000-0000-000068610000}"/>
    <cellStyle name="Output 47 5" xfId="24644" xr:uid="{00000000-0005-0000-0000-000069610000}"/>
    <cellStyle name="Output 47 6" xfId="24645" xr:uid="{00000000-0005-0000-0000-00006A610000}"/>
    <cellStyle name="Output 47 7" xfId="24646" xr:uid="{00000000-0005-0000-0000-00006B610000}"/>
    <cellStyle name="Output 47 8" xfId="24647" xr:uid="{00000000-0005-0000-0000-00006C610000}"/>
    <cellStyle name="Output 47 9" xfId="24648" xr:uid="{00000000-0005-0000-0000-00006D610000}"/>
    <cellStyle name="Output 48" xfId="24649" xr:uid="{00000000-0005-0000-0000-00006E610000}"/>
    <cellStyle name="Output 48 2" xfId="24650" xr:uid="{00000000-0005-0000-0000-00006F610000}"/>
    <cellStyle name="Output 48 3" xfId="24651" xr:uid="{00000000-0005-0000-0000-000070610000}"/>
    <cellStyle name="Output 48 4" xfId="24652" xr:uid="{00000000-0005-0000-0000-000071610000}"/>
    <cellStyle name="Output 48 5" xfId="24653" xr:uid="{00000000-0005-0000-0000-000072610000}"/>
    <cellStyle name="Output 48 6" xfId="24654" xr:uid="{00000000-0005-0000-0000-000073610000}"/>
    <cellStyle name="Output 48 7" xfId="24655" xr:uid="{00000000-0005-0000-0000-000074610000}"/>
    <cellStyle name="Output 48 8" xfId="24656" xr:uid="{00000000-0005-0000-0000-000075610000}"/>
    <cellStyle name="Output 48 9" xfId="24657" xr:uid="{00000000-0005-0000-0000-000076610000}"/>
    <cellStyle name="Output 49" xfId="24658" xr:uid="{00000000-0005-0000-0000-000077610000}"/>
    <cellStyle name="Output 49 2" xfId="24659" xr:uid="{00000000-0005-0000-0000-000078610000}"/>
    <cellStyle name="Output 49 3" xfId="24660" xr:uid="{00000000-0005-0000-0000-000079610000}"/>
    <cellStyle name="Output 49 4" xfId="24661" xr:uid="{00000000-0005-0000-0000-00007A610000}"/>
    <cellStyle name="Output 49 5" xfId="24662" xr:uid="{00000000-0005-0000-0000-00007B610000}"/>
    <cellStyle name="Output 49 6" xfId="24663" xr:uid="{00000000-0005-0000-0000-00007C610000}"/>
    <cellStyle name="Output 49 7" xfId="24664" xr:uid="{00000000-0005-0000-0000-00007D610000}"/>
    <cellStyle name="Output 49 8" xfId="24665" xr:uid="{00000000-0005-0000-0000-00007E610000}"/>
    <cellStyle name="Output 49 9" xfId="24666" xr:uid="{00000000-0005-0000-0000-00007F610000}"/>
    <cellStyle name="Output 5" xfId="24667" xr:uid="{00000000-0005-0000-0000-000080610000}"/>
    <cellStyle name="Output 5 10" xfId="24668" xr:uid="{00000000-0005-0000-0000-000081610000}"/>
    <cellStyle name="Output 5 11" xfId="24669" xr:uid="{00000000-0005-0000-0000-000082610000}"/>
    <cellStyle name="Output 5 12" xfId="24670" xr:uid="{00000000-0005-0000-0000-000083610000}"/>
    <cellStyle name="Output 5 13" xfId="24671" xr:uid="{00000000-0005-0000-0000-000084610000}"/>
    <cellStyle name="Output 5 14" xfId="24672" xr:uid="{00000000-0005-0000-0000-000085610000}"/>
    <cellStyle name="Output 5 15" xfId="24673" xr:uid="{00000000-0005-0000-0000-000086610000}"/>
    <cellStyle name="Output 5 2" xfId="24674" xr:uid="{00000000-0005-0000-0000-000087610000}"/>
    <cellStyle name="Output 5 2 2" xfId="24675" xr:uid="{00000000-0005-0000-0000-000088610000}"/>
    <cellStyle name="Output 5 2 2 2" xfId="24676" xr:uid="{00000000-0005-0000-0000-000089610000}"/>
    <cellStyle name="Output 5 2 2 3" xfId="24677" xr:uid="{00000000-0005-0000-0000-00008A610000}"/>
    <cellStyle name="Output 5 2 2 4" xfId="24678" xr:uid="{00000000-0005-0000-0000-00008B610000}"/>
    <cellStyle name="Output 5 2 2 5" xfId="24679" xr:uid="{00000000-0005-0000-0000-00008C610000}"/>
    <cellStyle name="Output 5 2 2 6" xfId="24680" xr:uid="{00000000-0005-0000-0000-00008D610000}"/>
    <cellStyle name="Output 5 2 2 7" xfId="24681" xr:uid="{00000000-0005-0000-0000-00008E610000}"/>
    <cellStyle name="Output 5 2 3" xfId="24682" xr:uid="{00000000-0005-0000-0000-00008F610000}"/>
    <cellStyle name="Output 5 2 4" xfId="24683" xr:uid="{00000000-0005-0000-0000-000090610000}"/>
    <cellStyle name="Output 5 2 5" xfId="24684" xr:uid="{00000000-0005-0000-0000-000091610000}"/>
    <cellStyle name="Output 5 2 6" xfId="24685" xr:uid="{00000000-0005-0000-0000-000092610000}"/>
    <cellStyle name="Output 5 2 7" xfId="24686" xr:uid="{00000000-0005-0000-0000-000093610000}"/>
    <cellStyle name="Output 5 3" xfId="24687" xr:uid="{00000000-0005-0000-0000-000094610000}"/>
    <cellStyle name="Output 5 3 2" xfId="24688" xr:uid="{00000000-0005-0000-0000-000095610000}"/>
    <cellStyle name="Output 5 3 2 2" xfId="24689" xr:uid="{00000000-0005-0000-0000-000096610000}"/>
    <cellStyle name="Output 5 3 2 3" xfId="24690" xr:uid="{00000000-0005-0000-0000-000097610000}"/>
    <cellStyle name="Output 5 3 2 4" xfId="24691" xr:uid="{00000000-0005-0000-0000-000098610000}"/>
    <cellStyle name="Output 5 3 2 5" xfId="24692" xr:uid="{00000000-0005-0000-0000-000099610000}"/>
    <cellStyle name="Output 5 3 2 6" xfId="24693" xr:uid="{00000000-0005-0000-0000-00009A610000}"/>
    <cellStyle name="Output 5 3 2 7" xfId="24694" xr:uid="{00000000-0005-0000-0000-00009B610000}"/>
    <cellStyle name="Output 5 3 3" xfId="24695" xr:uid="{00000000-0005-0000-0000-00009C610000}"/>
    <cellStyle name="Output 5 3 4" xfId="24696" xr:uid="{00000000-0005-0000-0000-00009D610000}"/>
    <cellStyle name="Output 5 3 5" xfId="24697" xr:uid="{00000000-0005-0000-0000-00009E610000}"/>
    <cellStyle name="Output 5 3 6" xfId="24698" xr:uid="{00000000-0005-0000-0000-00009F610000}"/>
    <cellStyle name="Output 5 3 7" xfId="24699" xr:uid="{00000000-0005-0000-0000-0000A0610000}"/>
    <cellStyle name="Output 5 4" xfId="24700" xr:uid="{00000000-0005-0000-0000-0000A1610000}"/>
    <cellStyle name="Output 5 4 2" xfId="24701" xr:uid="{00000000-0005-0000-0000-0000A2610000}"/>
    <cellStyle name="Output 5 4 2 2" xfId="24702" xr:uid="{00000000-0005-0000-0000-0000A3610000}"/>
    <cellStyle name="Output 5 4 2 3" xfId="24703" xr:uid="{00000000-0005-0000-0000-0000A4610000}"/>
    <cellStyle name="Output 5 4 2 4" xfId="24704" xr:uid="{00000000-0005-0000-0000-0000A5610000}"/>
    <cellStyle name="Output 5 4 2 5" xfId="24705" xr:uid="{00000000-0005-0000-0000-0000A6610000}"/>
    <cellStyle name="Output 5 4 2 6" xfId="24706" xr:uid="{00000000-0005-0000-0000-0000A7610000}"/>
    <cellStyle name="Output 5 4 2 7" xfId="24707" xr:uid="{00000000-0005-0000-0000-0000A8610000}"/>
    <cellStyle name="Output 5 4 3" xfId="24708" xr:uid="{00000000-0005-0000-0000-0000A9610000}"/>
    <cellStyle name="Output 5 4 4" xfId="24709" xr:uid="{00000000-0005-0000-0000-0000AA610000}"/>
    <cellStyle name="Output 5 4 5" xfId="24710" xr:uid="{00000000-0005-0000-0000-0000AB610000}"/>
    <cellStyle name="Output 5 4 6" xfId="24711" xr:uid="{00000000-0005-0000-0000-0000AC610000}"/>
    <cellStyle name="Output 5 4 7" xfId="24712" xr:uid="{00000000-0005-0000-0000-0000AD610000}"/>
    <cellStyle name="Output 5 5" xfId="24713" xr:uid="{00000000-0005-0000-0000-0000AE610000}"/>
    <cellStyle name="Output 5 5 2" xfId="24714" xr:uid="{00000000-0005-0000-0000-0000AF610000}"/>
    <cellStyle name="Output 5 5 2 2" xfId="24715" xr:uid="{00000000-0005-0000-0000-0000B0610000}"/>
    <cellStyle name="Output 5 5 2 3" xfId="24716" xr:uid="{00000000-0005-0000-0000-0000B1610000}"/>
    <cellStyle name="Output 5 5 2 4" xfId="24717" xr:uid="{00000000-0005-0000-0000-0000B2610000}"/>
    <cellStyle name="Output 5 5 2 5" xfId="24718" xr:uid="{00000000-0005-0000-0000-0000B3610000}"/>
    <cellStyle name="Output 5 5 2 6" xfId="24719" xr:uid="{00000000-0005-0000-0000-0000B4610000}"/>
    <cellStyle name="Output 5 5 2 7" xfId="24720" xr:uid="{00000000-0005-0000-0000-0000B5610000}"/>
    <cellStyle name="Output 5 5 3" xfId="24721" xr:uid="{00000000-0005-0000-0000-0000B6610000}"/>
    <cellStyle name="Output 5 5 4" xfId="24722" xr:uid="{00000000-0005-0000-0000-0000B7610000}"/>
    <cellStyle name="Output 5 5 5" xfId="24723" xr:uid="{00000000-0005-0000-0000-0000B8610000}"/>
    <cellStyle name="Output 5 5 6" xfId="24724" xr:uid="{00000000-0005-0000-0000-0000B9610000}"/>
    <cellStyle name="Output 5 5 7" xfId="24725" xr:uid="{00000000-0005-0000-0000-0000BA610000}"/>
    <cellStyle name="Output 5 6" xfId="24726" xr:uid="{00000000-0005-0000-0000-0000BB610000}"/>
    <cellStyle name="Output 5 6 2" xfId="24727" xr:uid="{00000000-0005-0000-0000-0000BC610000}"/>
    <cellStyle name="Output 5 6 2 2" xfId="24728" xr:uid="{00000000-0005-0000-0000-0000BD610000}"/>
    <cellStyle name="Output 5 6 2 3" xfId="24729" xr:uid="{00000000-0005-0000-0000-0000BE610000}"/>
    <cellStyle name="Output 5 6 2 4" xfId="24730" xr:uid="{00000000-0005-0000-0000-0000BF610000}"/>
    <cellStyle name="Output 5 6 2 5" xfId="24731" xr:uid="{00000000-0005-0000-0000-0000C0610000}"/>
    <cellStyle name="Output 5 6 2 6" xfId="24732" xr:uid="{00000000-0005-0000-0000-0000C1610000}"/>
    <cellStyle name="Output 5 6 2 7" xfId="24733" xr:uid="{00000000-0005-0000-0000-0000C2610000}"/>
    <cellStyle name="Output 5 6 3" xfId="24734" xr:uid="{00000000-0005-0000-0000-0000C3610000}"/>
    <cellStyle name="Output 5 6 4" xfId="24735" xr:uid="{00000000-0005-0000-0000-0000C4610000}"/>
    <cellStyle name="Output 5 6 5" xfId="24736" xr:uid="{00000000-0005-0000-0000-0000C5610000}"/>
    <cellStyle name="Output 5 6 6" xfId="24737" xr:uid="{00000000-0005-0000-0000-0000C6610000}"/>
    <cellStyle name="Output 5 6 7" xfId="24738" xr:uid="{00000000-0005-0000-0000-0000C7610000}"/>
    <cellStyle name="Output 5 7" xfId="24739" xr:uid="{00000000-0005-0000-0000-0000C8610000}"/>
    <cellStyle name="Output 5 7 2" xfId="24740" xr:uid="{00000000-0005-0000-0000-0000C9610000}"/>
    <cellStyle name="Output 5 7 2 2" xfId="24741" xr:uid="{00000000-0005-0000-0000-0000CA610000}"/>
    <cellStyle name="Output 5 7 2 3" xfId="24742" xr:uid="{00000000-0005-0000-0000-0000CB610000}"/>
    <cellStyle name="Output 5 7 2 4" xfId="24743" xr:uid="{00000000-0005-0000-0000-0000CC610000}"/>
    <cellStyle name="Output 5 7 2 5" xfId="24744" xr:uid="{00000000-0005-0000-0000-0000CD610000}"/>
    <cellStyle name="Output 5 7 2 6" xfId="24745" xr:uid="{00000000-0005-0000-0000-0000CE610000}"/>
    <cellStyle name="Output 5 7 2 7" xfId="24746" xr:uid="{00000000-0005-0000-0000-0000CF610000}"/>
    <cellStyle name="Output 5 7 3" xfId="24747" xr:uid="{00000000-0005-0000-0000-0000D0610000}"/>
    <cellStyle name="Output 5 7 4" xfId="24748" xr:uid="{00000000-0005-0000-0000-0000D1610000}"/>
    <cellStyle name="Output 5 7 5" xfId="24749" xr:uid="{00000000-0005-0000-0000-0000D2610000}"/>
    <cellStyle name="Output 5 7 6" xfId="24750" xr:uid="{00000000-0005-0000-0000-0000D3610000}"/>
    <cellStyle name="Output 5 7 7" xfId="24751" xr:uid="{00000000-0005-0000-0000-0000D4610000}"/>
    <cellStyle name="Output 5 8" xfId="24752" xr:uid="{00000000-0005-0000-0000-0000D5610000}"/>
    <cellStyle name="Output 5 8 2" xfId="24753" xr:uid="{00000000-0005-0000-0000-0000D6610000}"/>
    <cellStyle name="Output 5 8 3" xfId="24754" xr:uid="{00000000-0005-0000-0000-0000D7610000}"/>
    <cellStyle name="Output 5 8 4" xfId="24755" xr:uid="{00000000-0005-0000-0000-0000D8610000}"/>
    <cellStyle name="Output 5 8 5" xfId="24756" xr:uid="{00000000-0005-0000-0000-0000D9610000}"/>
    <cellStyle name="Output 5 8 6" xfId="24757" xr:uid="{00000000-0005-0000-0000-0000DA610000}"/>
    <cellStyle name="Output 5 8 7" xfId="24758" xr:uid="{00000000-0005-0000-0000-0000DB610000}"/>
    <cellStyle name="Output 5 9" xfId="24759" xr:uid="{00000000-0005-0000-0000-0000DC610000}"/>
    <cellStyle name="Output 50" xfId="24760" xr:uid="{00000000-0005-0000-0000-0000DD610000}"/>
    <cellStyle name="Output 50 2" xfId="24761" xr:uid="{00000000-0005-0000-0000-0000DE610000}"/>
    <cellStyle name="Output 50 3" xfId="24762" xr:uid="{00000000-0005-0000-0000-0000DF610000}"/>
    <cellStyle name="Output 50 4" xfId="24763" xr:uid="{00000000-0005-0000-0000-0000E0610000}"/>
    <cellStyle name="Output 50 5" xfId="24764" xr:uid="{00000000-0005-0000-0000-0000E1610000}"/>
    <cellStyle name="Output 50 6" xfId="24765" xr:uid="{00000000-0005-0000-0000-0000E2610000}"/>
    <cellStyle name="Output 50 7" xfId="24766" xr:uid="{00000000-0005-0000-0000-0000E3610000}"/>
    <cellStyle name="Output 50 8" xfId="24767" xr:uid="{00000000-0005-0000-0000-0000E4610000}"/>
    <cellStyle name="Output 50 9" xfId="24768" xr:uid="{00000000-0005-0000-0000-0000E5610000}"/>
    <cellStyle name="Output 51" xfId="24769" xr:uid="{00000000-0005-0000-0000-0000E6610000}"/>
    <cellStyle name="Output 51 2" xfId="24770" xr:uid="{00000000-0005-0000-0000-0000E7610000}"/>
    <cellStyle name="Output 51 3" xfId="24771" xr:uid="{00000000-0005-0000-0000-0000E8610000}"/>
    <cellStyle name="Output 51 4" xfId="24772" xr:uid="{00000000-0005-0000-0000-0000E9610000}"/>
    <cellStyle name="Output 51 5" xfId="24773" xr:uid="{00000000-0005-0000-0000-0000EA610000}"/>
    <cellStyle name="Output 51 6" xfId="24774" xr:uid="{00000000-0005-0000-0000-0000EB610000}"/>
    <cellStyle name="Output 51 7" xfId="24775" xr:uid="{00000000-0005-0000-0000-0000EC610000}"/>
    <cellStyle name="Output 51 8" xfId="24776" xr:uid="{00000000-0005-0000-0000-0000ED610000}"/>
    <cellStyle name="Output 51 9" xfId="24777" xr:uid="{00000000-0005-0000-0000-0000EE610000}"/>
    <cellStyle name="Output 52" xfId="24778" xr:uid="{00000000-0005-0000-0000-0000EF610000}"/>
    <cellStyle name="Output 52 2" xfId="24779" xr:uid="{00000000-0005-0000-0000-0000F0610000}"/>
    <cellStyle name="Output 52 3" xfId="24780" xr:uid="{00000000-0005-0000-0000-0000F1610000}"/>
    <cellStyle name="Output 52 4" xfId="24781" xr:uid="{00000000-0005-0000-0000-0000F2610000}"/>
    <cellStyle name="Output 52 5" xfId="24782" xr:uid="{00000000-0005-0000-0000-0000F3610000}"/>
    <cellStyle name="Output 52 6" xfId="24783" xr:uid="{00000000-0005-0000-0000-0000F4610000}"/>
    <cellStyle name="Output 52 7" xfId="24784" xr:uid="{00000000-0005-0000-0000-0000F5610000}"/>
    <cellStyle name="Output 52 8" xfId="24785" xr:uid="{00000000-0005-0000-0000-0000F6610000}"/>
    <cellStyle name="Output 52 9" xfId="24786" xr:uid="{00000000-0005-0000-0000-0000F7610000}"/>
    <cellStyle name="Output 53" xfId="24787" xr:uid="{00000000-0005-0000-0000-0000F8610000}"/>
    <cellStyle name="Output 53 2" xfId="24788" xr:uid="{00000000-0005-0000-0000-0000F9610000}"/>
    <cellStyle name="Output 53 3" xfId="24789" xr:uid="{00000000-0005-0000-0000-0000FA610000}"/>
    <cellStyle name="Output 53 4" xfId="24790" xr:uid="{00000000-0005-0000-0000-0000FB610000}"/>
    <cellStyle name="Output 53 5" xfId="24791" xr:uid="{00000000-0005-0000-0000-0000FC610000}"/>
    <cellStyle name="Output 53 6" xfId="24792" xr:uid="{00000000-0005-0000-0000-0000FD610000}"/>
    <cellStyle name="Output 53 7" xfId="24793" xr:uid="{00000000-0005-0000-0000-0000FE610000}"/>
    <cellStyle name="Output 53 8" xfId="24794" xr:uid="{00000000-0005-0000-0000-0000FF610000}"/>
    <cellStyle name="Output 53 9" xfId="24795" xr:uid="{00000000-0005-0000-0000-000000620000}"/>
    <cellStyle name="Output 54" xfId="24796" xr:uid="{00000000-0005-0000-0000-000001620000}"/>
    <cellStyle name="Output 54 2" xfId="24797" xr:uid="{00000000-0005-0000-0000-000002620000}"/>
    <cellStyle name="Output 54 3" xfId="24798" xr:uid="{00000000-0005-0000-0000-000003620000}"/>
    <cellStyle name="Output 54 4" xfId="24799" xr:uid="{00000000-0005-0000-0000-000004620000}"/>
    <cellStyle name="Output 54 5" xfId="24800" xr:uid="{00000000-0005-0000-0000-000005620000}"/>
    <cellStyle name="Output 54 6" xfId="24801" xr:uid="{00000000-0005-0000-0000-000006620000}"/>
    <cellStyle name="Output 54 7" xfId="24802" xr:uid="{00000000-0005-0000-0000-000007620000}"/>
    <cellStyle name="Output 54 8" xfId="24803" xr:uid="{00000000-0005-0000-0000-000008620000}"/>
    <cellStyle name="Output 54 9" xfId="24804" xr:uid="{00000000-0005-0000-0000-000009620000}"/>
    <cellStyle name="Output 55" xfId="24805" xr:uid="{00000000-0005-0000-0000-00000A620000}"/>
    <cellStyle name="Output 55 2" xfId="24806" xr:uid="{00000000-0005-0000-0000-00000B620000}"/>
    <cellStyle name="Output 55 3" xfId="24807" xr:uid="{00000000-0005-0000-0000-00000C620000}"/>
    <cellStyle name="Output 55 4" xfId="24808" xr:uid="{00000000-0005-0000-0000-00000D620000}"/>
    <cellStyle name="Output 55 5" xfId="24809" xr:uid="{00000000-0005-0000-0000-00000E620000}"/>
    <cellStyle name="Output 55 6" xfId="24810" xr:uid="{00000000-0005-0000-0000-00000F620000}"/>
    <cellStyle name="Output 55 7" xfId="24811" xr:uid="{00000000-0005-0000-0000-000010620000}"/>
    <cellStyle name="Output 55 8" xfId="24812" xr:uid="{00000000-0005-0000-0000-000011620000}"/>
    <cellStyle name="Output 55 9" xfId="24813" xr:uid="{00000000-0005-0000-0000-000012620000}"/>
    <cellStyle name="Output 56" xfId="24814" xr:uid="{00000000-0005-0000-0000-000013620000}"/>
    <cellStyle name="Output 56 2" xfId="24815" xr:uid="{00000000-0005-0000-0000-000014620000}"/>
    <cellStyle name="Output 56 3" xfId="24816" xr:uid="{00000000-0005-0000-0000-000015620000}"/>
    <cellStyle name="Output 56 4" xfId="24817" xr:uid="{00000000-0005-0000-0000-000016620000}"/>
    <cellStyle name="Output 56 5" xfId="24818" xr:uid="{00000000-0005-0000-0000-000017620000}"/>
    <cellStyle name="Output 56 6" xfId="24819" xr:uid="{00000000-0005-0000-0000-000018620000}"/>
    <cellStyle name="Output 56 7" xfId="24820" xr:uid="{00000000-0005-0000-0000-000019620000}"/>
    <cellStyle name="Output 56 8" xfId="24821" xr:uid="{00000000-0005-0000-0000-00001A620000}"/>
    <cellStyle name="Output 56 9" xfId="24822" xr:uid="{00000000-0005-0000-0000-00001B620000}"/>
    <cellStyle name="Output 57" xfId="24823" xr:uid="{00000000-0005-0000-0000-00001C620000}"/>
    <cellStyle name="Output 57 2" xfId="24824" xr:uid="{00000000-0005-0000-0000-00001D620000}"/>
    <cellStyle name="Output 57 3" xfId="24825" xr:uid="{00000000-0005-0000-0000-00001E620000}"/>
    <cellStyle name="Output 57 4" xfId="24826" xr:uid="{00000000-0005-0000-0000-00001F620000}"/>
    <cellStyle name="Output 57 5" xfId="24827" xr:uid="{00000000-0005-0000-0000-000020620000}"/>
    <cellStyle name="Output 57 6" xfId="24828" xr:uid="{00000000-0005-0000-0000-000021620000}"/>
    <cellStyle name="Output 57 7" xfId="24829" xr:uid="{00000000-0005-0000-0000-000022620000}"/>
    <cellStyle name="Output 57 8" xfId="24830" xr:uid="{00000000-0005-0000-0000-000023620000}"/>
    <cellStyle name="Output 57 9" xfId="24831" xr:uid="{00000000-0005-0000-0000-000024620000}"/>
    <cellStyle name="Output 58" xfId="24832" xr:uid="{00000000-0005-0000-0000-000025620000}"/>
    <cellStyle name="Output 58 2" xfId="24833" xr:uid="{00000000-0005-0000-0000-000026620000}"/>
    <cellStyle name="Output 58 3" xfId="24834" xr:uid="{00000000-0005-0000-0000-000027620000}"/>
    <cellStyle name="Output 58 4" xfId="24835" xr:uid="{00000000-0005-0000-0000-000028620000}"/>
    <cellStyle name="Output 58 5" xfId="24836" xr:uid="{00000000-0005-0000-0000-000029620000}"/>
    <cellStyle name="Output 58 6" xfId="24837" xr:uid="{00000000-0005-0000-0000-00002A620000}"/>
    <cellStyle name="Output 58 7" xfId="24838" xr:uid="{00000000-0005-0000-0000-00002B620000}"/>
    <cellStyle name="Output 58 8" xfId="24839" xr:uid="{00000000-0005-0000-0000-00002C620000}"/>
    <cellStyle name="Output 58 9" xfId="24840" xr:uid="{00000000-0005-0000-0000-00002D620000}"/>
    <cellStyle name="Output 59" xfId="24841" xr:uid="{00000000-0005-0000-0000-00002E620000}"/>
    <cellStyle name="Output 59 2" xfId="24842" xr:uid="{00000000-0005-0000-0000-00002F620000}"/>
    <cellStyle name="Output 59 3" xfId="24843" xr:uid="{00000000-0005-0000-0000-000030620000}"/>
    <cellStyle name="Output 59 4" xfId="24844" xr:uid="{00000000-0005-0000-0000-000031620000}"/>
    <cellStyle name="Output 59 5" xfId="24845" xr:uid="{00000000-0005-0000-0000-000032620000}"/>
    <cellStyle name="Output 59 6" xfId="24846" xr:uid="{00000000-0005-0000-0000-000033620000}"/>
    <cellStyle name="Output 59 7" xfId="24847" xr:uid="{00000000-0005-0000-0000-000034620000}"/>
    <cellStyle name="Output 59 8" xfId="24848" xr:uid="{00000000-0005-0000-0000-000035620000}"/>
    <cellStyle name="Output 59 9" xfId="24849" xr:uid="{00000000-0005-0000-0000-000036620000}"/>
    <cellStyle name="Output 6" xfId="24850" xr:uid="{00000000-0005-0000-0000-000037620000}"/>
    <cellStyle name="Output 6 10" xfId="24851" xr:uid="{00000000-0005-0000-0000-000038620000}"/>
    <cellStyle name="Output 6 11" xfId="24852" xr:uid="{00000000-0005-0000-0000-000039620000}"/>
    <cellStyle name="Output 6 12" xfId="24853" xr:uid="{00000000-0005-0000-0000-00003A620000}"/>
    <cellStyle name="Output 6 13" xfId="24854" xr:uid="{00000000-0005-0000-0000-00003B620000}"/>
    <cellStyle name="Output 6 14" xfId="24855" xr:uid="{00000000-0005-0000-0000-00003C620000}"/>
    <cellStyle name="Output 6 15" xfId="24856" xr:uid="{00000000-0005-0000-0000-00003D620000}"/>
    <cellStyle name="Output 6 2" xfId="24857" xr:uid="{00000000-0005-0000-0000-00003E620000}"/>
    <cellStyle name="Output 6 2 2" xfId="24858" xr:uid="{00000000-0005-0000-0000-00003F620000}"/>
    <cellStyle name="Output 6 2 2 2" xfId="24859" xr:uid="{00000000-0005-0000-0000-000040620000}"/>
    <cellStyle name="Output 6 2 2 3" xfId="24860" xr:uid="{00000000-0005-0000-0000-000041620000}"/>
    <cellStyle name="Output 6 2 2 4" xfId="24861" xr:uid="{00000000-0005-0000-0000-000042620000}"/>
    <cellStyle name="Output 6 2 2 5" xfId="24862" xr:uid="{00000000-0005-0000-0000-000043620000}"/>
    <cellStyle name="Output 6 2 2 6" xfId="24863" xr:uid="{00000000-0005-0000-0000-000044620000}"/>
    <cellStyle name="Output 6 2 2 7" xfId="24864" xr:uid="{00000000-0005-0000-0000-000045620000}"/>
    <cellStyle name="Output 6 2 3" xfId="24865" xr:uid="{00000000-0005-0000-0000-000046620000}"/>
    <cellStyle name="Output 6 2 4" xfId="24866" xr:uid="{00000000-0005-0000-0000-000047620000}"/>
    <cellStyle name="Output 6 2 5" xfId="24867" xr:uid="{00000000-0005-0000-0000-000048620000}"/>
    <cellStyle name="Output 6 2 6" xfId="24868" xr:uid="{00000000-0005-0000-0000-000049620000}"/>
    <cellStyle name="Output 6 2 7" xfId="24869" xr:uid="{00000000-0005-0000-0000-00004A620000}"/>
    <cellStyle name="Output 6 3" xfId="24870" xr:uid="{00000000-0005-0000-0000-00004B620000}"/>
    <cellStyle name="Output 6 3 2" xfId="24871" xr:uid="{00000000-0005-0000-0000-00004C620000}"/>
    <cellStyle name="Output 6 3 2 2" xfId="24872" xr:uid="{00000000-0005-0000-0000-00004D620000}"/>
    <cellStyle name="Output 6 3 2 3" xfId="24873" xr:uid="{00000000-0005-0000-0000-00004E620000}"/>
    <cellStyle name="Output 6 3 2 4" xfId="24874" xr:uid="{00000000-0005-0000-0000-00004F620000}"/>
    <cellStyle name="Output 6 3 2 5" xfId="24875" xr:uid="{00000000-0005-0000-0000-000050620000}"/>
    <cellStyle name="Output 6 3 2 6" xfId="24876" xr:uid="{00000000-0005-0000-0000-000051620000}"/>
    <cellStyle name="Output 6 3 2 7" xfId="24877" xr:uid="{00000000-0005-0000-0000-000052620000}"/>
    <cellStyle name="Output 6 3 3" xfId="24878" xr:uid="{00000000-0005-0000-0000-000053620000}"/>
    <cellStyle name="Output 6 3 4" xfId="24879" xr:uid="{00000000-0005-0000-0000-000054620000}"/>
    <cellStyle name="Output 6 3 5" xfId="24880" xr:uid="{00000000-0005-0000-0000-000055620000}"/>
    <cellStyle name="Output 6 3 6" xfId="24881" xr:uid="{00000000-0005-0000-0000-000056620000}"/>
    <cellStyle name="Output 6 3 7" xfId="24882" xr:uid="{00000000-0005-0000-0000-000057620000}"/>
    <cellStyle name="Output 6 4" xfId="24883" xr:uid="{00000000-0005-0000-0000-000058620000}"/>
    <cellStyle name="Output 6 4 2" xfId="24884" xr:uid="{00000000-0005-0000-0000-000059620000}"/>
    <cellStyle name="Output 6 4 2 2" xfId="24885" xr:uid="{00000000-0005-0000-0000-00005A620000}"/>
    <cellStyle name="Output 6 4 2 3" xfId="24886" xr:uid="{00000000-0005-0000-0000-00005B620000}"/>
    <cellStyle name="Output 6 4 2 4" xfId="24887" xr:uid="{00000000-0005-0000-0000-00005C620000}"/>
    <cellStyle name="Output 6 4 2 5" xfId="24888" xr:uid="{00000000-0005-0000-0000-00005D620000}"/>
    <cellStyle name="Output 6 4 2 6" xfId="24889" xr:uid="{00000000-0005-0000-0000-00005E620000}"/>
    <cellStyle name="Output 6 4 2 7" xfId="24890" xr:uid="{00000000-0005-0000-0000-00005F620000}"/>
    <cellStyle name="Output 6 4 3" xfId="24891" xr:uid="{00000000-0005-0000-0000-000060620000}"/>
    <cellStyle name="Output 6 4 4" xfId="24892" xr:uid="{00000000-0005-0000-0000-000061620000}"/>
    <cellStyle name="Output 6 4 5" xfId="24893" xr:uid="{00000000-0005-0000-0000-000062620000}"/>
    <cellStyle name="Output 6 4 6" xfId="24894" xr:uid="{00000000-0005-0000-0000-000063620000}"/>
    <cellStyle name="Output 6 4 7" xfId="24895" xr:uid="{00000000-0005-0000-0000-000064620000}"/>
    <cellStyle name="Output 6 5" xfId="24896" xr:uid="{00000000-0005-0000-0000-000065620000}"/>
    <cellStyle name="Output 6 5 2" xfId="24897" xr:uid="{00000000-0005-0000-0000-000066620000}"/>
    <cellStyle name="Output 6 5 2 2" xfId="24898" xr:uid="{00000000-0005-0000-0000-000067620000}"/>
    <cellStyle name="Output 6 5 2 3" xfId="24899" xr:uid="{00000000-0005-0000-0000-000068620000}"/>
    <cellStyle name="Output 6 5 2 4" xfId="24900" xr:uid="{00000000-0005-0000-0000-000069620000}"/>
    <cellStyle name="Output 6 5 2 5" xfId="24901" xr:uid="{00000000-0005-0000-0000-00006A620000}"/>
    <cellStyle name="Output 6 5 2 6" xfId="24902" xr:uid="{00000000-0005-0000-0000-00006B620000}"/>
    <cellStyle name="Output 6 5 2 7" xfId="24903" xr:uid="{00000000-0005-0000-0000-00006C620000}"/>
    <cellStyle name="Output 6 5 3" xfId="24904" xr:uid="{00000000-0005-0000-0000-00006D620000}"/>
    <cellStyle name="Output 6 5 4" xfId="24905" xr:uid="{00000000-0005-0000-0000-00006E620000}"/>
    <cellStyle name="Output 6 5 5" xfId="24906" xr:uid="{00000000-0005-0000-0000-00006F620000}"/>
    <cellStyle name="Output 6 5 6" xfId="24907" xr:uid="{00000000-0005-0000-0000-000070620000}"/>
    <cellStyle name="Output 6 5 7" xfId="24908" xr:uid="{00000000-0005-0000-0000-000071620000}"/>
    <cellStyle name="Output 6 6" xfId="24909" xr:uid="{00000000-0005-0000-0000-000072620000}"/>
    <cellStyle name="Output 6 6 2" xfId="24910" xr:uid="{00000000-0005-0000-0000-000073620000}"/>
    <cellStyle name="Output 6 6 2 2" xfId="24911" xr:uid="{00000000-0005-0000-0000-000074620000}"/>
    <cellStyle name="Output 6 6 2 3" xfId="24912" xr:uid="{00000000-0005-0000-0000-000075620000}"/>
    <cellStyle name="Output 6 6 2 4" xfId="24913" xr:uid="{00000000-0005-0000-0000-000076620000}"/>
    <cellStyle name="Output 6 6 2 5" xfId="24914" xr:uid="{00000000-0005-0000-0000-000077620000}"/>
    <cellStyle name="Output 6 6 2 6" xfId="24915" xr:uid="{00000000-0005-0000-0000-000078620000}"/>
    <cellStyle name="Output 6 6 2 7" xfId="24916" xr:uid="{00000000-0005-0000-0000-000079620000}"/>
    <cellStyle name="Output 6 6 3" xfId="24917" xr:uid="{00000000-0005-0000-0000-00007A620000}"/>
    <cellStyle name="Output 6 6 4" xfId="24918" xr:uid="{00000000-0005-0000-0000-00007B620000}"/>
    <cellStyle name="Output 6 6 5" xfId="24919" xr:uid="{00000000-0005-0000-0000-00007C620000}"/>
    <cellStyle name="Output 6 6 6" xfId="24920" xr:uid="{00000000-0005-0000-0000-00007D620000}"/>
    <cellStyle name="Output 6 6 7" xfId="24921" xr:uid="{00000000-0005-0000-0000-00007E620000}"/>
    <cellStyle name="Output 6 7" xfId="24922" xr:uid="{00000000-0005-0000-0000-00007F620000}"/>
    <cellStyle name="Output 6 7 2" xfId="24923" xr:uid="{00000000-0005-0000-0000-000080620000}"/>
    <cellStyle name="Output 6 7 2 2" xfId="24924" xr:uid="{00000000-0005-0000-0000-000081620000}"/>
    <cellStyle name="Output 6 7 2 3" xfId="24925" xr:uid="{00000000-0005-0000-0000-000082620000}"/>
    <cellStyle name="Output 6 7 2 4" xfId="24926" xr:uid="{00000000-0005-0000-0000-000083620000}"/>
    <cellStyle name="Output 6 7 2 5" xfId="24927" xr:uid="{00000000-0005-0000-0000-000084620000}"/>
    <cellStyle name="Output 6 7 2 6" xfId="24928" xr:uid="{00000000-0005-0000-0000-000085620000}"/>
    <cellStyle name="Output 6 7 2 7" xfId="24929" xr:uid="{00000000-0005-0000-0000-000086620000}"/>
    <cellStyle name="Output 6 7 3" xfId="24930" xr:uid="{00000000-0005-0000-0000-000087620000}"/>
    <cellStyle name="Output 6 7 4" xfId="24931" xr:uid="{00000000-0005-0000-0000-000088620000}"/>
    <cellStyle name="Output 6 7 5" xfId="24932" xr:uid="{00000000-0005-0000-0000-000089620000}"/>
    <cellStyle name="Output 6 7 6" xfId="24933" xr:uid="{00000000-0005-0000-0000-00008A620000}"/>
    <cellStyle name="Output 6 7 7" xfId="24934" xr:uid="{00000000-0005-0000-0000-00008B620000}"/>
    <cellStyle name="Output 6 8" xfId="24935" xr:uid="{00000000-0005-0000-0000-00008C620000}"/>
    <cellStyle name="Output 6 8 2" xfId="24936" xr:uid="{00000000-0005-0000-0000-00008D620000}"/>
    <cellStyle name="Output 6 8 3" xfId="24937" xr:uid="{00000000-0005-0000-0000-00008E620000}"/>
    <cellStyle name="Output 6 8 4" xfId="24938" xr:uid="{00000000-0005-0000-0000-00008F620000}"/>
    <cellStyle name="Output 6 8 5" xfId="24939" xr:uid="{00000000-0005-0000-0000-000090620000}"/>
    <cellStyle name="Output 6 8 6" xfId="24940" xr:uid="{00000000-0005-0000-0000-000091620000}"/>
    <cellStyle name="Output 6 8 7" xfId="24941" xr:uid="{00000000-0005-0000-0000-000092620000}"/>
    <cellStyle name="Output 6 9" xfId="24942" xr:uid="{00000000-0005-0000-0000-000093620000}"/>
    <cellStyle name="Output 60" xfId="24943" xr:uid="{00000000-0005-0000-0000-000094620000}"/>
    <cellStyle name="Output 60 2" xfId="24944" xr:uid="{00000000-0005-0000-0000-000095620000}"/>
    <cellStyle name="Output 60 3" xfId="24945" xr:uid="{00000000-0005-0000-0000-000096620000}"/>
    <cellStyle name="Output 60 4" xfId="24946" xr:uid="{00000000-0005-0000-0000-000097620000}"/>
    <cellStyle name="Output 60 5" xfId="24947" xr:uid="{00000000-0005-0000-0000-000098620000}"/>
    <cellStyle name="Output 60 6" xfId="24948" xr:uid="{00000000-0005-0000-0000-000099620000}"/>
    <cellStyle name="Output 60 7" xfId="24949" xr:uid="{00000000-0005-0000-0000-00009A620000}"/>
    <cellStyle name="Output 60 8" xfId="24950" xr:uid="{00000000-0005-0000-0000-00009B620000}"/>
    <cellStyle name="Output 60 9" xfId="24951" xr:uid="{00000000-0005-0000-0000-00009C620000}"/>
    <cellStyle name="Output 61" xfId="24952" xr:uid="{00000000-0005-0000-0000-00009D620000}"/>
    <cellStyle name="Output 61 2" xfId="24953" xr:uid="{00000000-0005-0000-0000-00009E620000}"/>
    <cellStyle name="Output 61 3" xfId="24954" xr:uid="{00000000-0005-0000-0000-00009F620000}"/>
    <cellStyle name="Output 61 4" xfId="24955" xr:uid="{00000000-0005-0000-0000-0000A0620000}"/>
    <cellStyle name="Output 61 5" xfId="24956" xr:uid="{00000000-0005-0000-0000-0000A1620000}"/>
    <cellStyle name="Output 61 6" xfId="24957" xr:uid="{00000000-0005-0000-0000-0000A2620000}"/>
    <cellStyle name="Output 61 7" xfId="24958" xr:uid="{00000000-0005-0000-0000-0000A3620000}"/>
    <cellStyle name="Output 61 8" xfId="24959" xr:uid="{00000000-0005-0000-0000-0000A4620000}"/>
    <cellStyle name="Output 61 9" xfId="24960" xr:uid="{00000000-0005-0000-0000-0000A5620000}"/>
    <cellStyle name="Output 62" xfId="24961" xr:uid="{00000000-0005-0000-0000-0000A6620000}"/>
    <cellStyle name="Output 62 2" xfId="24962" xr:uid="{00000000-0005-0000-0000-0000A7620000}"/>
    <cellStyle name="Output 62 3" xfId="24963" xr:uid="{00000000-0005-0000-0000-0000A8620000}"/>
    <cellStyle name="Output 62 4" xfId="24964" xr:uid="{00000000-0005-0000-0000-0000A9620000}"/>
    <cellStyle name="Output 62 5" xfId="24965" xr:uid="{00000000-0005-0000-0000-0000AA620000}"/>
    <cellStyle name="Output 62 6" xfId="24966" xr:uid="{00000000-0005-0000-0000-0000AB620000}"/>
    <cellStyle name="Output 62 7" xfId="24967" xr:uid="{00000000-0005-0000-0000-0000AC620000}"/>
    <cellStyle name="Output 62 8" xfId="24968" xr:uid="{00000000-0005-0000-0000-0000AD620000}"/>
    <cellStyle name="Output 62 9" xfId="24969" xr:uid="{00000000-0005-0000-0000-0000AE620000}"/>
    <cellStyle name="Output 63" xfId="24970" xr:uid="{00000000-0005-0000-0000-0000AF620000}"/>
    <cellStyle name="Output 63 2" xfId="24971" xr:uid="{00000000-0005-0000-0000-0000B0620000}"/>
    <cellStyle name="Output 63 3" xfId="24972" xr:uid="{00000000-0005-0000-0000-0000B1620000}"/>
    <cellStyle name="Output 63 4" xfId="24973" xr:uid="{00000000-0005-0000-0000-0000B2620000}"/>
    <cellStyle name="Output 63 5" xfId="24974" xr:uid="{00000000-0005-0000-0000-0000B3620000}"/>
    <cellStyle name="Output 63 6" xfId="24975" xr:uid="{00000000-0005-0000-0000-0000B4620000}"/>
    <cellStyle name="Output 63 7" xfId="24976" xr:uid="{00000000-0005-0000-0000-0000B5620000}"/>
    <cellStyle name="Output 63 8" xfId="24977" xr:uid="{00000000-0005-0000-0000-0000B6620000}"/>
    <cellStyle name="Output 63 9" xfId="24978" xr:uid="{00000000-0005-0000-0000-0000B7620000}"/>
    <cellStyle name="Output 64" xfId="24979" xr:uid="{00000000-0005-0000-0000-0000B8620000}"/>
    <cellStyle name="Output 64 2" xfId="24980" xr:uid="{00000000-0005-0000-0000-0000B9620000}"/>
    <cellStyle name="Output 64 3" xfId="24981" xr:uid="{00000000-0005-0000-0000-0000BA620000}"/>
    <cellStyle name="Output 64 4" xfId="24982" xr:uid="{00000000-0005-0000-0000-0000BB620000}"/>
    <cellStyle name="Output 64 5" xfId="24983" xr:uid="{00000000-0005-0000-0000-0000BC620000}"/>
    <cellStyle name="Output 64 6" xfId="24984" xr:uid="{00000000-0005-0000-0000-0000BD620000}"/>
    <cellStyle name="Output 64 7" xfId="24985" xr:uid="{00000000-0005-0000-0000-0000BE620000}"/>
    <cellStyle name="Output 64 8" xfId="24986" xr:uid="{00000000-0005-0000-0000-0000BF620000}"/>
    <cellStyle name="Output 64 9" xfId="24987" xr:uid="{00000000-0005-0000-0000-0000C0620000}"/>
    <cellStyle name="Output 65" xfId="24988" xr:uid="{00000000-0005-0000-0000-0000C1620000}"/>
    <cellStyle name="Output 65 2" xfId="24989" xr:uid="{00000000-0005-0000-0000-0000C2620000}"/>
    <cellStyle name="Output 65 3" xfId="24990" xr:uid="{00000000-0005-0000-0000-0000C3620000}"/>
    <cellStyle name="Output 65 4" xfId="24991" xr:uid="{00000000-0005-0000-0000-0000C4620000}"/>
    <cellStyle name="Output 65 5" xfId="24992" xr:uid="{00000000-0005-0000-0000-0000C5620000}"/>
    <cellStyle name="Output 65 6" xfId="24993" xr:uid="{00000000-0005-0000-0000-0000C6620000}"/>
    <cellStyle name="Output 65 7" xfId="24994" xr:uid="{00000000-0005-0000-0000-0000C7620000}"/>
    <cellStyle name="Output 65 8" xfId="24995" xr:uid="{00000000-0005-0000-0000-0000C8620000}"/>
    <cellStyle name="Output 65 9" xfId="24996" xr:uid="{00000000-0005-0000-0000-0000C9620000}"/>
    <cellStyle name="Output 66" xfId="24997" xr:uid="{00000000-0005-0000-0000-0000CA620000}"/>
    <cellStyle name="Output 66 2" xfId="24998" xr:uid="{00000000-0005-0000-0000-0000CB620000}"/>
    <cellStyle name="Output 66 3" xfId="24999" xr:uid="{00000000-0005-0000-0000-0000CC620000}"/>
    <cellStyle name="Output 66 4" xfId="25000" xr:uid="{00000000-0005-0000-0000-0000CD620000}"/>
    <cellStyle name="Output 66 5" xfId="25001" xr:uid="{00000000-0005-0000-0000-0000CE620000}"/>
    <cellStyle name="Output 66 6" xfId="25002" xr:uid="{00000000-0005-0000-0000-0000CF620000}"/>
    <cellStyle name="Output 66 7" xfId="25003" xr:uid="{00000000-0005-0000-0000-0000D0620000}"/>
    <cellStyle name="Output 66 8" xfId="25004" xr:uid="{00000000-0005-0000-0000-0000D1620000}"/>
    <cellStyle name="Output 66 9" xfId="25005" xr:uid="{00000000-0005-0000-0000-0000D2620000}"/>
    <cellStyle name="Output 67" xfId="25006" xr:uid="{00000000-0005-0000-0000-0000D3620000}"/>
    <cellStyle name="Output 67 2" xfId="25007" xr:uid="{00000000-0005-0000-0000-0000D4620000}"/>
    <cellStyle name="Output 67 3" xfId="25008" xr:uid="{00000000-0005-0000-0000-0000D5620000}"/>
    <cellStyle name="Output 67 4" xfId="25009" xr:uid="{00000000-0005-0000-0000-0000D6620000}"/>
    <cellStyle name="Output 67 5" xfId="25010" xr:uid="{00000000-0005-0000-0000-0000D7620000}"/>
    <cellStyle name="Output 67 6" xfId="25011" xr:uid="{00000000-0005-0000-0000-0000D8620000}"/>
    <cellStyle name="Output 67 7" xfId="25012" xr:uid="{00000000-0005-0000-0000-0000D9620000}"/>
    <cellStyle name="Output 67 8" xfId="25013" xr:uid="{00000000-0005-0000-0000-0000DA620000}"/>
    <cellStyle name="Output 67 9" xfId="25014" xr:uid="{00000000-0005-0000-0000-0000DB620000}"/>
    <cellStyle name="Output 68" xfId="25015" xr:uid="{00000000-0005-0000-0000-0000DC620000}"/>
    <cellStyle name="Output 68 2" xfId="25016" xr:uid="{00000000-0005-0000-0000-0000DD620000}"/>
    <cellStyle name="Output 68 3" xfId="25017" xr:uid="{00000000-0005-0000-0000-0000DE620000}"/>
    <cellStyle name="Output 68 4" xfId="25018" xr:uid="{00000000-0005-0000-0000-0000DF620000}"/>
    <cellStyle name="Output 68 5" xfId="25019" xr:uid="{00000000-0005-0000-0000-0000E0620000}"/>
    <cellStyle name="Output 68 6" xfId="25020" xr:uid="{00000000-0005-0000-0000-0000E1620000}"/>
    <cellStyle name="Output 68 7" xfId="25021" xr:uid="{00000000-0005-0000-0000-0000E2620000}"/>
    <cellStyle name="Output 68 8" xfId="25022" xr:uid="{00000000-0005-0000-0000-0000E3620000}"/>
    <cellStyle name="Output 68 9" xfId="25023" xr:uid="{00000000-0005-0000-0000-0000E4620000}"/>
    <cellStyle name="Output 69" xfId="25024" xr:uid="{00000000-0005-0000-0000-0000E5620000}"/>
    <cellStyle name="Output 69 2" xfId="25025" xr:uid="{00000000-0005-0000-0000-0000E6620000}"/>
    <cellStyle name="Output 69 3" xfId="25026" xr:uid="{00000000-0005-0000-0000-0000E7620000}"/>
    <cellStyle name="Output 69 4" xfId="25027" xr:uid="{00000000-0005-0000-0000-0000E8620000}"/>
    <cellStyle name="Output 69 5" xfId="25028" xr:uid="{00000000-0005-0000-0000-0000E9620000}"/>
    <cellStyle name="Output 69 6" xfId="25029" xr:uid="{00000000-0005-0000-0000-0000EA620000}"/>
    <cellStyle name="Output 69 7" xfId="25030" xr:uid="{00000000-0005-0000-0000-0000EB620000}"/>
    <cellStyle name="Output 69 8" xfId="25031" xr:uid="{00000000-0005-0000-0000-0000EC620000}"/>
    <cellStyle name="Output 69 9" xfId="25032" xr:uid="{00000000-0005-0000-0000-0000ED620000}"/>
    <cellStyle name="Output 7" xfId="25033" xr:uid="{00000000-0005-0000-0000-0000EE620000}"/>
    <cellStyle name="Output 7 10" xfId="25034" xr:uid="{00000000-0005-0000-0000-0000EF620000}"/>
    <cellStyle name="Output 7 11" xfId="25035" xr:uid="{00000000-0005-0000-0000-0000F0620000}"/>
    <cellStyle name="Output 7 12" xfId="25036" xr:uid="{00000000-0005-0000-0000-0000F1620000}"/>
    <cellStyle name="Output 7 13" xfId="25037" xr:uid="{00000000-0005-0000-0000-0000F2620000}"/>
    <cellStyle name="Output 7 14" xfId="25038" xr:uid="{00000000-0005-0000-0000-0000F3620000}"/>
    <cellStyle name="Output 7 15" xfId="25039" xr:uid="{00000000-0005-0000-0000-0000F4620000}"/>
    <cellStyle name="Output 7 2" xfId="25040" xr:uid="{00000000-0005-0000-0000-0000F5620000}"/>
    <cellStyle name="Output 7 2 2" xfId="25041" xr:uid="{00000000-0005-0000-0000-0000F6620000}"/>
    <cellStyle name="Output 7 2 2 2" xfId="25042" xr:uid="{00000000-0005-0000-0000-0000F7620000}"/>
    <cellStyle name="Output 7 2 2 3" xfId="25043" xr:uid="{00000000-0005-0000-0000-0000F8620000}"/>
    <cellStyle name="Output 7 2 2 4" xfId="25044" xr:uid="{00000000-0005-0000-0000-0000F9620000}"/>
    <cellStyle name="Output 7 2 2 5" xfId="25045" xr:uid="{00000000-0005-0000-0000-0000FA620000}"/>
    <cellStyle name="Output 7 2 2 6" xfId="25046" xr:uid="{00000000-0005-0000-0000-0000FB620000}"/>
    <cellStyle name="Output 7 2 2 7" xfId="25047" xr:uid="{00000000-0005-0000-0000-0000FC620000}"/>
    <cellStyle name="Output 7 2 3" xfId="25048" xr:uid="{00000000-0005-0000-0000-0000FD620000}"/>
    <cellStyle name="Output 7 2 4" xfId="25049" xr:uid="{00000000-0005-0000-0000-0000FE620000}"/>
    <cellStyle name="Output 7 2 5" xfId="25050" xr:uid="{00000000-0005-0000-0000-0000FF620000}"/>
    <cellStyle name="Output 7 2 6" xfId="25051" xr:uid="{00000000-0005-0000-0000-000000630000}"/>
    <cellStyle name="Output 7 2 7" xfId="25052" xr:uid="{00000000-0005-0000-0000-000001630000}"/>
    <cellStyle name="Output 7 3" xfId="25053" xr:uid="{00000000-0005-0000-0000-000002630000}"/>
    <cellStyle name="Output 7 3 2" xfId="25054" xr:uid="{00000000-0005-0000-0000-000003630000}"/>
    <cellStyle name="Output 7 3 2 2" xfId="25055" xr:uid="{00000000-0005-0000-0000-000004630000}"/>
    <cellStyle name="Output 7 3 2 3" xfId="25056" xr:uid="{00000000-0005-0000-0000-000005630000}"/>
    <cellStyle name="Output 7 3 2 4" xfId="25057" xr:uid="{00000000-0005-0000-0000-000006630000}"/>
    <cellStyle name="Output 7 3 2 5" xfId="25058" xr:uid="{00000000-0005-0000-0000-000007630000}"/>
    <cellStyle name="Output 7 3 2 6" xfId="25059" xr:uid="{00000000-0005-0000-0000-000008630000}"/>
    <cellStyle name="Output 7 3 2 7" xfId="25060" xr:uid="{00000000-0005-0000-0000-000009630000}"/>
    <cellStyle name="Output 7 3 3" xfId="25061" xr:uid="{00000000-0005-0000-0000-00000A630000}"/>
    <cellStyle name="Output 7 3 4" xfId="25062" xr:uid="{00000000-0005-0000-0000-00000B630000}"/>
    <cellStyle name="Output 7 3 5" xfId="25063" xr:uid="{00000000-0005-0000-0000-00000C630000}"/>
    <cellStyle name="Output 7 3 6" xfId="25064" xr:uid="{00000000-0005-0000-0000-00000D630000}"/>
    <cellStyle name="Output 7 3 7" xfId="25065" xr:uid="{00000000-0005-0000-0000-00000E630000}"/>
    <cellStyle name="Output 7 4" xfId="25066" xr:uid="{00000000-0005-0000-0000-00000F630000}"/>
    <cellStyle name="Output 7 4 2" xfId="25067" xr:uid="{00000000-0005-0000-0000-000010630000}"/>
    <cellStyle name="Output 7 4 2 2" xfId="25068" xr:uid="{00000000-0005-0000-0000-000011630000}"/>
    <cellStyle name="Output 7 4 2 3" xfId="25069" xr:uid="{00000000-0005-0000-0000-000012630000}"/>
    <cellStyle name="Output 7 4 2 4" xfId="25070" xr:uid="{00000000-0005-0000-0000-000013630000}"/>
    <cellStyle name="Output 7 4 2 5" xfId="25071" xr:uid="{00000000-0005-0000-0000-000014630000}"/>
    <cellStyle name="Output 7 4 2 6" xfId="25072" xr:uid="{00000000-0005-0000-0000-000015630000}"/>
    <cellStyle name="Output 7 4 2 7" xfId="25073" xr:uid="{00000000-0005-0000-0000-000016630000}"/>
    <cellStyle name="Output 7 4 3" xfId="25074" xr:uid="{00000000-0005-0000-0000-000017630000}"/>
    <cellStyle name="Output 7 4 4" xfId="25075" xr:uid="{00000000-0005-0000-0000-000018630000}"/>
    <cellStyle name="Output 7 4 5" xfId="25076" xr:uid="{00000000-0005-0000-0000-000019630000}"/>
    <cellStyle name="Output 7 4 6" xfId="25077" xr:uid="{00000000-0005-0000-0000-00001A630000}"/>
    <cellStyle name="Output 7 4 7" xfId="25078" xr:uid="{00000000-0005-0000-0000-00001B630000}"/>
    <cellStyle name="Output 7 5" xfId="25079" xr:uid="{00000000-0005-0000-0000-00001C630000}"/>
    <cellStyle name="Output 7 5 2" xfId="25080" xr:uid="{00000000-0005-0000-0000-00001D630000}"/>
    <cellStyle name="Output 7 5 2 2" xfId="25081" xr:uid="{00000000-0005-0000-0000-00001E630000}"/>
    <cellStyle name="Output 7 5 2 3" xfId="25082" xr:uid="{00000000-0005-0000-0000-00001F630000}"/>
    <cellStyle name="Output 7 5 2 4" xfId="25083" xr:uid="{00000000-0005-0000-0000-000020630000}"/>
    <cellStyle name="Output 7 5 2 5" xfId="25084" xr:uid="{00000000-0005-0000-0000-000021630000}"/>
    <cellStyle name="Output 7 5 2 6" xfId="25085" xr:uid="{00000000-0005-0000-0000-000022630000}"/>
    <cellStyle name="Output 7 5 2 7" xfId="25086" xr:uid="{00000000-0005-0000-0000-000023630000}"/>
    <cellStyle name="Output 7 5 3" xfId="25087" xr:uid="{00000000-0005-0000-0000-000024630000}"/>
    <cellStyle name="Output 7 5 4" xfId="25088" xr:uid="{00000000-0005-0000-0000-000025630000}"/>
    <cellStyle name="Output 7 5 5" xfId="25089" xr:uid="{00000000-0005-0000-0000-000026630000}"/>
    <cellStyle name="Output 7 5 6" xfId="25090" xr:uid="{00000000-0005-0000-0000-000027630000}"/>
    <cellStyle name="Output 7 5 7" xfId="25091" xr:uid="{00000000-0005-0000-0000-000028630000}"/>
    <cellStyle name="Output 7 6" xfId="25092" xr:uid="{00000000-0005-0000-0000-000029630000}"/>
    <cellStyle name="Output 7 6 2" xfId="25093" xr:uid="{00000000-0005-0000-0000-00002A630000}"/>
    <cellStyle name="Output 7 6 2 2" xfId="25094" xr:uid="{00000000-0005-0000-0000-00002B630000}"/>
    <cellStyle name="Output 7 6 2 3" xfId="25095" xr:uid="{00000000-0005-0000-0000-00002C630000}"/>
    <cellStyle name="Output 7 6 2 4" xfId="25096" xr:uid="{00000000-0005-0000-0000-00002D630000}"/>
    <cellStyle name="Output 7 6 2 5" xfId="25097" xr:uid="{00000000-0005-0000-0000-00002E630000}"/>
    <cellStyle name="Output 7 6 2 6" xfId="25098" xr:uid="{00000000-0005-0000-0000-00002F630000}"/>
    <cellStyle name="Output 7 6 2 7" xfId="25099" xr:uid="{00000000-0005-0000-0000-000030630000}"/>
    <cellStyle name="Output 7 6 3" xfId="25100" xr:uid="{00000000-0005-0000-0000-000031630000}"/>
    <cellStyle name="Output 7 6 4" xfId="25101" xr:uid="{00000000-0005-0000-0000-000032630000}"/>
    <cellStyle name="Output 7 6 5" xfId="25102" xr:uid="{00000000-0005-0000-0000-000033630000}"/>
    <cellStyle name="Output 7 6 6" xfId="25103" xr:uid="{00000000-0005-0000-0000-000034630000}"/>
    <cellStyle name="Output 7 6 7" xfId="25104" xr:uid="{00000000-0005-0000-0000-000035630000}"/>
    <cellStyle name="Output 7 7" xfId="25105" xr:uid="{00000000-0005-0000-0000-000036630000}"/>
    <cellStyle name="Output 7 7 2" xfId="25106" xr:uid="{00000000-0005-0000-0000-000037630000}"/>
    <cellStyle name="Output 7 7 2 2" xfId="25107" xr:uid="{00000000-0005-0000-0000-000038630000}"/>
    <cellStyle name="Output 7 7 2 3" xfId="25108" xr:uid="{00000000-0005-0000-0000-000039630000}"/>
    <cellStyle name="Output 7 7 2 4" xfId="25109" xr:uid="{00000000-0005-0000-0000-00003A630000}"/>
    <cellStyle name="Output 7 7 2 5" xfId="25110" xr:uid="{00000000-0005-0000-0000-00003B630000}"/>
    <cellStyle name="Output 7 7 2 6" xfId="25111" xr:uid="{00000000-0005-0000-0000-00003C630000}"/>
    <cellStyle name="Output 7 7 2 7" xfId="25112" xr:uid="{00000000-0005-0000-0000-00003D630000}"/>
    <cellStyle name="Output 7 7 3" xfId="25113" xr:uid="{00000000-0005-0000-0000-00003E630000}"/>
    <cellStyle name="Output 7 7 4" xfId="25114" xr:uid="{00000000-0005-0000-0000-00003F630000}"/>
    <cellStyle name="Output 7 7 5" xfId="25115" xr:uid="{00000000-0005-0000-0000-000040630000}"/>
    <cellStyle name="Output 7 7 6" xfId="25116" xr:uid="{00000000-0005-0000-0000-000041630000}"/>
    <cellStyle name="Output 7 7 7" xfId="25117" xr:uid="{00000000-0005-0000-0000-000042630000}"/>
    <cellStyle name="Output 7 8" xfId="25118" xr:uid="{00000000-0005-0000-0000-000043630000}"/>
    <cellStyle name="Output 7 8 2" xfId="25119" xr:uid="{00000000-0005-0000-0000-000044630000}"/>
    <cellStyle name="Output 7 8 3" xfId="25120" xr:uid="{00000000-0005-0000-0000-000045630000}"/>
    <cellStyle name="Output 7 8 4" xfId="25121" xr:uid="{00000000-0005-0000-0000-000046630000}"/>
    <cellStyle name="Output 7 8 5" xfId="25122" xr:uid="{00000000-0005-0000-0000-000047630000}"/>
    <cellStyle name="Output 7 8 6" xfId="25123" xr:uid="{00000000-0005-0000-0000-000048630000}"/>
    <cellStyle name="Output 7 8 7" xfId="25124" xr:uid="{00000000-0005-0000-0000-000049630000}"/>
    <cellStyle name="Output 7 9" xfId="25125" xr:uid="{00000000-0005-0000-0000-00004A630000}"/>
    <cellStyle name="Output 70" xfId="25126" xr:uid="{00000000-0005-0000-0000-00004B630000}"/>
    <cellStyle name="Output 70 2" xfId="25127" xr:uid="{00000000-0005-0000-0000-00004C630000}"/>
    <cellStyle name="Output 70 3" xfId="25128" xr:uid="{00000000-0005-0000-0000-00004D630000}"/>
    <cellStyle name="Output 70 4" xfId="25129" xr:uid="{00000000-0005-0000-0000-00004E630000}"/>
    <cellStyle name="Output 70 5" xfId="25130" xr:uid="{00000000-0005-0000-0000-00004F630000}"/>
    <cellStyle name="Output 70 6" xfId="25131" xr:uid="{00000000-0005-0000-0000-000050630000}"/>
    <cellStyle name="Output 70 7" xfId="25132" xr:uid="{00000000-0005-0000-0000-000051630000}"/>
    <cellStyle name="Output 70 8" xfId="25133" xr:uid="{00000000-0005-0000-0000-000052630000}"/>
    <cellStyle name="Output 70 9" xfId="25134" xr:uid="{00000000-0005-0000-0000-000053630000}"/>
    <cellStyle name="Output 71" xfId="25135" xr:uid="{00000000-0005-0000-0000-000054630000}"/>
    <cellStyle name="Output 71 2" xfId="25136" xr:uid="{00000000-0005-0000-0000-000055630000}"/>
    <cellStyle name="Output 71 3" xfId="25137" xr:uid="{00000000-0005-0000-0000-000056630000}"/>
    <cellStyle name="Output 71 4" xfId="25138" xr:uid="{00000000-0005-0000-0000-000057630000}"/>
    <cellStyle name="Output 71 5" xfId="25139" xr:uid="{00000000-0005-0000-0000-000058630000}"/>
    <cellStyle name="Output 71 6" xfId="25140" xr:uid="{00000000-0005-0000-0000-000059630000}"/>
    <cellStyle name="Output 71 7" xfId="25141" xr:uid="{00000000-0005-0000-0000-00005A630000}"/>
    <cellStyle name="Output 71 8" xfId="25142" xr:uid="{00000000-0005-0000-0000-00005B630000}"/>
    <cellStyle name="Output 71 9" xfId="25143" xr:uid="{00000000-0005-0000-0000-00005C630000}"/>
    <cellStyle name="Output 72" xfId="25144" xr:uid="{00000000-0005-0000-0000-00005D630000}"/>
    <cellStyle name="Output 8" xfId="25145" xr:uid="{00000000-0005-0000-0000-00005E630000}"/>
    <cellStyle name="Output 8 10" xfId="25146" xr:uid="{00000000-0005-0000-0000-00005F630000}"/>
    <cellStyle name="Output 8 11" xfId="25147" xr:uid="{00000000-0005-0000-0000-000060630000}"/>
    <cellStyle name="Output 8 12" xfId="25148" xr:uid="{00000000-0005-0000-0000-000061630000}"/>
    <cellStyle name="Output 8 13" xfId="25149" xr:uid="{00000000-0005-0000-0000-000062630000}"/>
    <cellStyle name="Output 8 14" xfId="25150" xr:uid="{00000000-0005-0000-0000-000063630000}"/>
    <cellStyle name="Output 8 15" xfId="25151" xr:uid="{00000000-0005-0000-0000-000064630000}"/>
    <cellStyle name="Output 8 2" xfId="25152" xr:uid="{00000000-0005-0000-0000-000065630000}"/>
    <cellStyle name="Output 8 2 2" xfId="25153" xr:uid="{00000000-0005-0000-0000-000066630000}"/>
    <cellStyle name="Output 8 2 2 2" xfId="25154" xr:uid="{00000000-0005-0000-0000-000067630000}"/>
    <cellStyle name="Output 8 2 2 3" xfId="25155" xr:uid="{00000000-0005-0000-0000-000068630000}"/>
    <cellStyle name="Output 8 2 2 4" xfId="25156" xr:uid="{00000000-0005-0000-0000-000069630000}"/>
    <cellStyle name="Output 8 2 2 5" xfId="25157" xr:uid="{00000000-0005-0000-0000-00006A630000}"/>
    <cellStyle name="Output 8 2 2 6" xfId="25158" xr:uid="{00000000-0005-0000-0000-00006B630000}"/>
    <cellStyle name="Output 8 2 2 7" xfId="25159" xr:uid="{00000000-0005-0000-0000-00006C630000}"/>
    <cellStyle name="Output 8 2 3" xfId="25160" xr:uid="{00000000-0005-0000-0000-00006D630000}"/>
    <cellStyle name="Output 8 2 4" xfId="25161" xr:uid="{00000000-0005-0000-0000-00006E630000}"/>
    <cellStyle name="Output 8 2 5" xfId="25162" xr:uid="{00000000-0005-0000-0000-00006F630000}"/>
    <cellStyle name="Output 8 2 6" xfId="25163" xr:uid="{00000000-0005-0000-0000-000070630000}"/>
    <cellStyle name="Output 8 2 7" xfId="25164" xr:uid="{00000000-0005-0000-0000-000071630000}"/>
    <cellStyle name="Output 8 3" xfId="25165" xr:uid="{00000000-0005-0000-0000-000072630000}"/>
    <cellStyle name="Output 8 3 2" xfId="25166" xr:uid="{00000000-0005-0000-0000-000073630000}"/>
    <cellStyle name="Output 8 3 2 2" xfId="25167" xr:uid="{00000000-0005-0000-0000-000074630000}"/>
    <cellStyle name="Output 8 3 2 3" xfId="25168" xr:uid="{00000000-0005-0000-0000-000075630000}"/>
    <cellStyle name="Output 8 3 2 4" xfId="25169" xr:uid="{00000000-0005-0000-0000-000076630000}"/>
    <cellStyle name="Output 8 3 2 5" xfId="25170" xr:uid="{00000000-0005-0000-0000-000077630000}"/>
    <cellStyle name="Output 8 3 2 6" xfId="25171" xr:uid="{00000000-0005-0000-0000-000078630000}"/>
    <cellStyle name="Output 8 3 2 7" xfId="25172" xr:uid="{00000000-0005-0000-0000-000079630000}"/>
    <cellStyle name="Output 8 3 3" xfId="25173" xr:uid="{00000000-0005-0000-0000-00007A630000}"/>
    <cellStyle name="Output 8 3 4" xfId="25174" xr:uid="{00000000-0005-0000-0000-00007B630000}"/>
    <cellStyle name="Output 8 3 5" xfId="25175" xr:uid="{00000000-0005-0000-0000-00007C630000}"/>
    <cellStyle name="Output 8 3 6" xfId="25176" xr:uid="{00000000-0005-0000-0000-00007D630000}"/>
    <cellStyle name="Output 8 3 7" xfId="25177" xr:uid="{00000000-0005-0000-0000-00007E630000}"/>
    <cellStyle name="Output 8 4" xfId="25178" xr:uid="{00000000-0005-0000-0000-00007F630000}"/>
    <cellStyle name="Output 8 4 2" xfId="25179" xr:uid="{00000000-0005-0000-0000-000080630000}"/>
    <cellStyle name="Output 8 4 2 2" xfId="25180" xr:uid="{00000000-0005-0000-0000-000081630000}"/>
    <cellStyle name="Output 8 4 2 3" xfId="25181" xr:uid="{00000000-0005-0000-0000-000082630000}"/>
    <cellStyle name="Output 8 4 2 4" xfId="25182" xr:uid="{00000000-0005-0000-0000-000083630000}"/>
    <cellStyle name="Output 8 4 2 5" xfId="25183" xr:uid="{00000000-0005-0000-0000-000084630000}"/>
    <cellStyle name="Output 8 4 2 6" xfId="25184" xr:uid="{00000000-0005-0000-0000-000085630000}"/>
    <cellStyle name="Output 8 4 2 7" xfId="25185" xr:uid="{00000000-0005-0000-0000-000086630000}"/>
    <cellStyle name="Output 8 4 3" xfId="25186" xr:uid="{00000000-0005-0000-0000-000087630000}"/>
    <cellStyle name="Output 8 4 4" xfId="25187" xr:uid="{00000000-0005-0000-0000-000088630000}"/>
    <cellStyle name="Output 8 4 5" xfId="25188" xr:uid="{00000000-0005-0000-0000-000089630000}"/>
    <cellStyle name="Output 8 4 6" xfId="25189" xr:uid="{00000000-0005-0000-0000-00008A630000}"/>
    <cellStyle name="Output 8 4 7" xfId="25190" xr:uid="{00000000-0005-0000-0000-00008B630000}"/>
    <cellStyle name="Output 8 5" xfId="25191" xr:uid="{00000000-0005-0000-0000-00008C630000}"/>
    <cellStyle name="Output 8 5 2" xfId="25192" xr:uid="{00000000-0005-0000-0000-00008D630000}"/>
    <cellStyle name="Output 8 5 2 2" xfId="25193" xr:uid="{00000000-0005-0000-0000-00008E630000}"/>
    <cellStyle name="Output 8 5 2 3" xfId="25194" xr:uid="{00000000-0005-0000-0000-00008F630000}"/>
    <cellStyle name="Output 8 5 2 4" xfId="25195" xr:uid="{00000000-0005-0000-0000-000090630000}"/>
    <cellStyle name="Output 8 5 2 5" xfId="25196" xr:uid="{00000000-0005-0000-0000-000091630000}"/>
    <cellStyle name="Output 8 5 2 6" xfId="25197" xr:uid="{00000000-0005-0000-0000-000092630000}"/>
    <cellStyle name="Output 8 5 2 7" xfId="25198" xr:uid="{00000000-0005-0000-0000-000093630000}"/>
    <cellStyle name="Output 8 5 3" xfId="25199" xr:uid="{00000000-0005-0000-0000-000094630000}"/>
    <cellStyle name="Output 8 5 4" xfId="25200" xr:uid="{00000000-0005-0000-0000-000095630000}"/>
    <cellStyle name="Output 8 5 5" xfId="25201" xr:uid="{00000000-0005-0000-0000-000096630000}"/>
    <cellStyle name="Output 8 5 6" xfId="25202" xr:uid="{00000000-0005-0000-0000-000097630000}"/>
    <cellStyle name="Output 8 5 7" xfId="25203" xr:uid="{00000000-0005-0000-0000-000098630000}"/>
    <cellStyle name="Output 8 6" xfId="25204" xr:uid="{00000000-0005-0000-0000-000099630000}"/>
    <cellStyle name="Output 8 6 2" xfId="25205" xr:uid="{00000000-0005-0000-0000-00009A630000}"/>
    <cellStyle name="Output 8 6 2 2" xfId="25206" xr:uid="{00000000-0005-0000-0000-00009B630000}"/>
    <cellStyle name="Output 8 6 2 3" xfId="25207" xr:uid="{00000000-0005-0000-0000-00009C630000}"/>
    <cellStyle name="Output 8 6 2 4" xfId="25208" xr:uid="{00000000-0005-0000-0000-00009D630000}"/>
    <cellStyle name="Output 8 6 2 5" xfId="25209" xr:uid="{00000000-0005-0000-0000-00009E630000}"/>
    <cellStyle name="Output 8 6 2 6" xfId="25210" xr:uid="{00000000-0005-0000-0000-00009F630000}"/>
    <cellStyle name="Output 8 6 2 7" xfId="25211" xr:uid="{00000000-0005-0000-0000-0000A0630000}"/>
    <cellStyle name="Output 8 6 3" xfId="25212" xr:uid="{00000000-0005-0000-0000-0000A1630000}"/>
    <cellStyle name="Output 8 6 4" xfId="25213" xr:uid="{00000000-0005-0000-0000-0000A2630000}"/>
    <cellStyle name="Output 8 6 5" xfId="25214" xr:uid="{00000000-0005-0000-0000-0000A3630000}"/>
    <cellStyle name="Output 8 6 6" xfId="25215" xr:uid="{00000000-0005-0000-0000-0000A4630000}"/>
    <cellStyle name="Output 8 6 7" xfId="25216" xr:uid="{00000000-0005-0000-0000-0000A5630000}"/>
    <cellStyle name="Output 8 7" xfId="25217" xr:uid="{00000000-0005-0000-0000-0000A6630000}"/>
    <cellStyle name="Output 8 7 2" xfId="25218" xr:uid="{00000000-0005-0000-0000-0000A7630000}"/>
    <cellStyle name="Output 8 7 2 2" xfId="25219" xr:uid="{00000000-0005-0000-0000-0000A8630000}"/>
    <cellStyle name="Output 8 7 2 3" xfId="25220" xr:uid="{00000000-0005-0000-0000-0000A9630000}"/>
    <cellStyle name="Output 8 7 2 4" xfId="25221" xr:uid="{00000000-0005-0000-0000-0000AA630000}"/>
    <cellStyle name="Output 8 7 2 5" xfId="25222" xr:uid="{00000000-0005-0000-0000-0000AB630000}"/>
    <cellStyle name="Output 8 7 2 6" xfId="25223" xr:uid="{00000000-0005-0000-0000-0000AC630000}"/>
    <cellStyle name="Output 8 7 2 7" xfId="25224" xr:uid="{00000000-0005-0000-0000-0000AD630000}"/>
    <cellStyle name="Output 8 7 3" xfId="25225" xr:uid="{00000000-0005-0000-0000-0000AE630000}"/>
    <cellStyle name="Output 8 7 4" xfId="25226" xr:uid="{00000000-0005-0000-0000-0000AF630000}"/>
    <cellStyle name="Output 8 7 5" xfId="25227" xr:uid="{00000000-0005-0000-0000-0000B0630000}"/>
    <cellStyle name="Output 8 7 6" xfId="25228" xr:uid="{00000000-0005-0000-0000-0000B1630000}"/>
    <cellStyle name="Output 8 7 7" xfId="25229" xr:uid="{00000000-0005-0000-0000-0000B2630000}"/>
    <cellStyle name="Output 8 8" xfId="25230" xr:uid="{00000000-0005-0000-0000-0000B3630000}"/>
    <cellStyle name="Output 8 8 2" xfId="25231" xr:uid="{00000000-0005-0000-0000-0000B4630000}"/>
    <cellStyle name="Output 8 8 3" xfId="25232" xr:uid="{00000000-0005-0000-0000-0000B5630000}"/>
    <cellStyle name="Output 8 8 4" xfId="25233" xr:uid="{00000000-0005-0000-0000-0000B6630000}"/>
    <cellStyle name="Output 8 8 5" xfId="25234" xr:uid="{00000000-0005-0000-0000-0000B7630000}"/>
    <cellStyle name="Output 8 8 6" xfId="25235" xr:uid="{00000000-0005-0000-0000-0000B8630000}"/>
    <cellStyle name="Output 8 8 7" xfId="25236" xr:uid="{00000000-0005-0000-0000-0000B9630000}"/>
    <cellStyle name="Output 8 9" xfId="25237" xr:uid="{00000000-0005-0000-0000-0000BA630000}"/>
    <cellStyle name="Output 9" xfId="25238" xr:uid="{00000000-0005-0000-0000-0000BB630000}"/>
    <cellStyle name="Output 9 10" xfId="25239" xr:uid="{00000000-0005-0000-0000-0000BC630000}"/>
    <cellStyle name="Output 9 11" xfId="25240" xr:uid="{00000000-0005-0000-0000-0000BD630000}"/>
    <cellStyle name="Output 9 12" xfId="25241" xr:uid="{00000000-0005-0000-0000-0000BE630000}"/>
    <cellStyle name="Output 9 13" xfId="25242" xr:uid="{00000000-0005-0000-0000-0000BF630000}"/>
    <cellStyle name="Output 9 14" xfId="25243" xr:uid="{00000000-0005-0000-0000-0000C0630000}"/>
    <cellStyle name="Output 9 15" xfId="25244" xr:uid="{00000000-0005-0000-0000-0000C1630000}"/>
    <cellStyle name="Output 9 2" xfId="25245" xr:uid="{00000000-0005-0000-0000-0000C2630000}"/>
    <cellStyle name="Output 9 2 2" xfId="25246" xr:uid="{00000000-0005-0000-0000-0000C3630000}"/>
    <cellStyle name="Output 9 2 3" xfId="25247" xr:uid="{00000000-0005-0000-0000-0000C4630000}"/>
    <cellStyle name="Output 9 2 4" xfId="25248" xr:uid="{00000000-0005-0000-0000-0000C5630000}"/>
    <cellStyle name="Output 9 2 5" xfId="25249" xr:uid="{00000000-0005-0000-0000-0000C6630000}"/>
    <cellStyle name="Output 9 2 6" xfId="25250" xr:uid="{00000000-0005-0000-0000-0000C7630000}"/>
    <cellStyle name="Output 9 2 7" xfId="25251" xr:uid="{00000000-0005-0000-0000-0000C8630000}"/>
    <cellStyle name="Output 9 3" xfId="25252" xr:uid="{00000000-0005-0000-0000-0000C9630000}"/>
    <cellStyle name="Output 9 4" xfId="25253" xr:uid="{00000000-0005-0000-0000-0000CA630000}"/>
    <cellStyle name="Output 9 5" xfId="25254" xr:uid="{00000000-0005-0000-0000-0000CB630000}"/>
    <cellStyle name="Output 9 6" xfId="25255" xr:uid="{00000000-0005-0000-0000-0000CC630000}"/>
    <cellStyle name="Output 9 7" xfId="25256" xr:uid="{00000000-0005-0000-0000-0000CD630000}"/>
    <cellStyle name="Output 9 8" xfId="25257" xr:uid="{00000000-0005-0000-0000-0000CE630000}"/>
    <cellStyle name="Output 9 9" xfId="25258" xr:uid="{00000000-0005-0000-0000-0000CF630000}"/>
    <cellStyle name="Overskrift" xfId="33" xr:uid="{00000000-0005-0000-0000-0000D0630000}"/>
    <cellStyle name="Overskrift 2" xfId="25260" xr:uid="{00000000-0005-0000-0000-0000D1630000}"/>
    <cellStyle name="Overskrift 3" xfId="25259" xr:uid="{00000000-0005-0000-0000-0000D2630000}"/>
    <cellStyle name="Percent" xfId="1" builtinId="5"/>
    <cellStyle name="Percent %" xfId="34" xr:uid="{00000000-0005-0000-0000-0000D4630000}"/>
    <cellStyle name="Percent % 2" xfId="25262" xr:uid="{00000000-0005-0000-0000-0000D5630000}"/>
    <cellStyle name="Percent % 3" xfId="25261" xr:uid="{00000000-0005-0000-0000-0000D6630000}"/>
    <cellStyle name="Percent [0]" xfId="91" xr:uid="{00000000-0005-0000-0000-0000D7630000}"/>
    <cellStyle name="Percent [0] 10" xfId="25264" xr:uid="{00000000-0005-0000-0000-0000D8630000}"/>
    <cellStyle name="Percent [0] 11" xfId="25265" xr:uid="{00000000-0005-0000-0000-0000D9630000}"/>
    <cellStyle name="Percent [0] 12" xfId="25266" xr:uid="{00000000-0005-0000-0000-0000DA630000}"/>
    <cellStyle name="Percent [0] 13" xfId="25267" xr:uid="{00000000-0005-0000-0000-0000DB630000}"/>
    <cellStyle name="Percent [0] 14" xfId="25268" xr:uid="{00000000-0005-0000-0000-0000DC630000}"/>
    <cellStyle name="Percent [0] 15" xfId="25269" xr:uid="{00000000-0005-0000-0000-0000DD630000}"/>
    <cellStyle name="Percent [0] 16" xfId="25270" xr:uid="{00000000-0005-0000-0000-0000DE630000}"/>
    <cellStyle name="Percent [0] 17" xfId="25271" xr:uid="{00000000-0005-0000-0000-0000DF630000}"/>
    <cellStyle name="Percent [0] 18" xfId="25272" xr:uid="{00000000-0005-0000-0000-0000E0630000}"/>
    <cellStyle name="Percent [0] 19" xfId="25273" xr:uid="{00000000-0005-0000-0000-0000E1630000}"/>
    <cellStyle name="Percent [0] 2" xfId="25274" xr:uid="{00000000-0005-0000-0000-0000E2630000}"/>
    <cellStyle name="Percent [0] 20" xfId="25275" xr:uid="{00000000-0005-0000-0000-0000E3630000}"/>
    <cellStyle name="Percent [0] 21" xfId="25276" xr:uid="{00000000-0005-0000-0000-0000E4630000}"/>
    <cellStyle name="Percent [0] 22" xfId="25277" xr:uid="{00000000-0005-0000-0000-0000E5630000}"/>
    <cellStyle name="Percent [0] 23" xfId="25278" xr:uid="{00000000-0005-0000-0000-0000E6630000}"/>
    <cellStyle name="Percent [0] 23 2" xfId="25279" xr:uid="{00000000-0005-0000-0000-0000E7630000}"/>
    <cellStyle name="Percent [0] 23 3" xfId="25280" xr:uid="{00000000-0005-0000-0000-0000E8630000}"/>
    <cellStyle name="Percent [0] 23 4" xfId="25281" xr:uid="{00000000-0005-0000-0000-0000E9630000}"/>
    <cellStyle name="Percent [0] 23 5" xfId="25282" xr:uid="{00000000-0005-0000-0000-0000EA630000}"/>
    <cellStyle name="Percent [0] 23 6" xfId="25283" xr:uid="{00000000-0005-0000-0000-0000EB630000}"/>
    <cellStyle name="Percent [0] 23 7" xfId="25284" xr:uid="{00000000-0005-0000-0000-0000EC630000}"/>
    <cellStyle name="Percent [0] 24" xfId="25285" xr:uid="{00000000-0005-0000-0000-0000ED630000}"/>
    <cellStyle name="Percent [0] 24 2" xfId="25286" xr:uid="{00000000-0005-0000-0000-0000EE630000}"/>
    <cellStyle name="Percent [0] 24 3" xfId="25287" xr:uid="{00000000-0005-0000-0000-0000EF630000}"/>
    <cellStyle name="Percent [0] 24 4" xfId="25288" xr:uid="{00000000-0005-0000-0000-0000F0630000}"/>
    <cellStyle name="Percent [0] 24 5" xfId="25289" xr:uid="{00000000-0005-0000-0000-0000F1630000}"/>
    <cellStyle name="Percent [0] 24 6" xfId="25290" xr:uid="{00000000-0005-0000-0000-0000F2630000}"/>
    <cellStyle name="Percent [0] 24 7" xfId="25291" xr:uid="{00000000-0005-0000-0000-0000F3630000}"/>
    <cellStyle name="Percent [0] 25" xfId="25292" xr:uid="{00000000-0005-0000-0000-0000F4630000}"/>
    <cellStyle name="Percent [0] 25 2" xfId="25293" xr:uid="{00000000-0005-0000-0000-0000F5630000}"/>
    <cellStyle name="Percent [0] 25 3" xfId="25294" xr:uid="{00000000-0005-0000-0000-0000F6630000}"/>
    <cellStyle name="Percent [0] 25 4" xfId="25295" xr:uid="{00000000-0005-0000-0000-0000F7630000}"/>
    <cellStyle name="Percent [0] 25 5" xfId="25296" xr:uid="{00000000-0005-0000-0000-0000F8630000}"/>
    <cellStyle name="Percent [0] 25 6" xfId="25297" xr:uid="{00000000-0005-0000-0000-0000F9630000}"/>
    <cellStyle name="Percent [0] 25 7" xfId="25298" xr:uid="{00000000-0005-0000-0000-0000FA630000}"/>
    <cellStyle name="Percent [0] 26" xfId="25299" xr:uid="{00000000-0005-0000-0000-0000FB630000}"/>
    <cellStyle name="Percent [0] 26 2" xfId="25300" xr:uid="{00000000-0005-0000-0000-0000FC630000}"/>
    <cellStyle name="Percent [0] 26 3" xfId="25301" xr:uid="{00000000-0005-0000-0000-0000FD630000}"/>
    <cellStyle name="Percent [0] 26 4" xfId="25302" xr:uid="{00000000-0005-0000-0000-0000FE630000}"/>
    <cellStyle name="Percent [0] 26 5" xfId="25303" xr:uid="{00000000-0005-0000-0000-0000FF630000}"/>
    <cellStyle name="Percent [0] 26 6" xfId="25304" xr:uid="{00000000-0005-0000-0000-000000640000}"/>
    <cellStyle name="Percent [0] 26 7" xfId="25305" xr:uid="{00000000-0005-0000-0000-000001640000}"/>
    <cellStyle name="Percent [0] 27" xfId="25306" xr:uid="{00000000-0005-0000-0000-000002640000}"/>
    <cellStyle name="Percent [0] 27 2" xfId="25307" xr:uid="{00000000-0005-0000-0000-000003640000}"/>
    <cellStyle name="Percent [0] 27 3" xfId="25308" xr:uid="{00000000-0005-0000-0000-000004640000}"/>
    <cellStyle name="Percent [0] 27 4" xfId="25309" xr:uid="{00000000-0005-0000-0000-000005640000}"/>
    <cellStyle name="Percent [0] 27 5" xfId="25310" xr:uid="{00000000-0005-0000-0000-000006640000}"/>
    <cellStyle name="Percent [0] 27 6" xfId="25311" xr:uid="{00000000-0005-0000-0000-000007640000}"/>
    <cellStyle name="Percent [0] 27 7" xfId="25312" xr:uid="{00000000-0005-0000-0000-000008640000}"/>
    <cellStyle name="Percent [0] 28" xfId="25313" xr:uid="{00000000-0005-0000-0000-000009640000}"/>
    <cellStyle name="Percent [0] 28 2" xfId="25314" xr:uid="{00000000-0005-0000-0000-00000A640000}"/>
    <cellStyle name="Percent [0] 28 3" xfId="25315" xr:uid="{00000000-0005-0000-0000-00000B640000}"/>
    <cellStyle name="Percent [0] 28 4" xfId="25316" xr:uid="{00000000-0005-0000-0000-00000C640000}"/>
    <cellStyle name="Percent [0] 28 5" xfId="25317" xr:uid="{00000000-0005-0000-0000-00000D640000}"/>
    <cellStyle name="Percent [0] 28 6" xfId="25318" xr:uid="{00000000-0005-0000-0000-00000E640000}"/>
    <cellStyle name="Percent [0] 28 7" xfId="25319" xr:uid="{00000000-0005-0000-0000-00000F640000}"/>
    <cellStyle name="Percent [0] 29" xfId="25320" xr:uid="{00000000-0005-0000-0000-000010640000}"/>
    <cellStyle name="Percent [0] 3" xfId="25321" xr:uid="{00000000-0005-0000-0000-000011640000}"/>
    <cellStyle name="Percent [0] 30" xfId="25322" xr:uid="{00000000-0005-0000-0000-000012640000}"/>
    <cellStyle name="Percent [0] 31" xfId="25323" xr:uid="{00000000-0005-0000-0000-000013640000}"/>
    <cellStyle name="Percent [0] 32" xfId="25324" xr:uid="{00000000-0005-0000-0000-000014640000}"/>
    <cellStyle name="Percent [0] 33" xfId="25325" xr:uid="{00000000-0005-0000-0000-000015640000}"/>
    <cellStyle name="Percent [0] 34" xfId="25326" xr:uid="{00000000-0005-0000-0000-000016640000}"/>
    <cellStyle name="Percent [0] 35" xfId="25327" xr:uid="{00000000-0005-0000-0000-000017640000}"/>
    <cellStyle name="Percent [0] 36" xfId="25328" xr:uid="{00000000-0005-0000-0000-000018640000}"/>
    <cellStyle name="Percent [0] 37" xfId="25329" xr:uid="{00000000-0005-0000-0000-000019640000}"/>
    <cellStyle name="Percent [0] 38" xfId="25330" xr:uid="{00000000-0005-0000-0000-00001A640000}"/>
    <cellStyle name="Percent [0] 39" xfId="25331" xr:uid="{00000000-0005-0000-0000-00001B640000}"/>
    <cellStyle name="Percent [0] 4" xfId="25332" xr:uid="{00000000-0005-0000-0000-00001C640000}"/>
    <cellStyle name="Percent [0] 40" xfId="25333" xr:uid="{00000000-0005-0000-0000-00001D640000}"/>
    <cellStyle name="Percent [0] 41" xfId="25334" xr:uid="{00000000-0005-0000-0000-00001E640000}"/>
    <cellStyle name="Percent [0] 42" xfId="25335" xr:uid="{00000000-0005-0000-0000-00001F640000}"/>
    <cellStyle name="Percent [0] 43" xfId="25336" xr:uid="{00000000-0005-0000-0000-000020640000}"/>
    <cellStyle name="Percent [0] 44" xfId="25337" xr:uid="{00000000-0005-0000-0000-000021640000}"/>
    <cellStyle name="Percent [0] 45" xfId="25338" xr:uid="{00000000-0005-0000-0000-000022640000}"/>
    <cellStyle name="Percent [0] 46" xfId="25339" xr:uid="{00000000-0005-0000-0000-000023640000}"/>
    <cellStyle name="Percent [0] 47" xfId="25340" xr:uid="{00000000-0005-0000-0000-000024640000}"/>
    <cellStyle name="Percent [0] 48" xfId="25341" xr:uid="{00000000-0005-0000-0000-000025640000}"/>
    <cellStyle name="Percent [0] 49" xfId="25342" xr:uid="{00000000-0005-0000-0000-000026640000}"/>
    <cellStyle name="Percent [0] 5" xfId="25343" xr:uid="{00000000-0005-0000-0000-000027640000}"/>
    <cellStyle name="Percent [0] 50" xfId="25344" xr:uid="{00000000-0005-0000-0000-000028640000}"/>
    <cellStyle name="Percent [0] 51" xfId="25263" xr:uid="{00000000-0005-0000-0000-000029640000}"/>
    <cellStyle name="Percent [0] 6" xfId="25345" xr:uid="{00000000-0005-0000-0000-00002A640000}"/>
    <cellStyle name="Percent [0] 7" xfId="25346" xr:uid="{00000000-0005-0000-0000-00002B640000}"/>
    <cellStyle name="Percent [0] 8" xfId="25347" xr:uid="{00000000-0005-0000-0000-00002C640000}"/>
    <cellStyle name="Percent [0] 9" xfId="25348" xr:uid="{00000000-0005-0000-0000-00002D640000}"/>
    <cellStyle name="Percent [00]" xfId="92" xr:uid="{00000000-0005-0000-0000-00002E640000}"/>
    <cellStyle name="Percent [00] 2" xfId="93" xr:uid="{00000000-0005-0000-0000-00002F640000}"/>
    <cellStyle name="Percent [00] 2 2" xfId="25350" xr:uid="{00000000-0005-0000-0000-000030640000}"/>
    <cellStyle name="Percent [00] 3" xfId="25351" xr:uid="{00000000-0005-0000-0000-000031640000}"/>
    <cellStyle name="Percent [00] 4" xfId="25352" xr:uid="{00000000-0005-0000-0000-000032640000}"/>
    <cellStyle name="Percent [00] 5" xfId="25353" xr:uid="{00000000-0005-0000-0000-000033640000}"/>
    <cellStyle name="Percent [00] 6" xfId="25354" xr:uid="{00000000-0005-0000-0000-000034640000}"/>
    <cellStyle name="Percent [00] 7" xfId="25355" xr:uid="{00000000-0005-0000-0000-000035640000}"/>
    <cellStyle name="Percent [00] 8" xfId="25349" xr:uid="{00000000-0005-0000-0000-000036640000}"/>
    <cellStyle name="Percent 2" xfId="94" xr:uid="{00000000-0005-0000-0000-000037640000}"/>
    <cellStyle name="Percent 2 2" xfId="25356" xr:uid="{00000000-0005-0000-0000-000038640000}"/>
    <cellStyle name="Percent 2 2 2" xfId="30620" xr:uid="{00000000-0005-0000-0000-000039640000}"/>
    <cellStyle name="Percent 2 3" xfId="30619" xr:uid="{00000000-0005-0000-0000-00003A640000}"/>
    <cellStyle name="Percent 3" xfId="95" xr:uid="{00000000-0005-0000-0000-00003B640000}"/>
    <cellStyle name="Percent 4" xfId="96" xr:uid="{00000000-0005-0000-0000-00003C640000}"/>
    <cellStyle name="Percent 5" xfId="97" xr:uid="{00000000-0005-0000-0000-00003D640000}"/>
    <cellStyle name="Percent 6" xfId="98" xr:uid="{00000000-0005-0000-0000-00003E640000}"/>
    <cellStyle name="Percent 7" xfId="99" xr:uid="{00000000-0005-0000-0000-00003F640000}"/>
    <cellStyle name="Percent 8" xfId="30618" xr:uid="{00000000-0005-0000-0000-000040640000}"/>
    <cellStyle name="PrePop Currency (0)" xfId="100" xr:uid="{00000000-0005-0000-0000-000041640000}"/>
    <cellStyle name="PrePop Currency (0) 10" xfId="25358" xr:uid="{00000000-0005-0000-0000-000042640000}"/>
    <cellStyle name="PrePop Currency (0) 11" xfId="25359" xr:uid="{00000000-0005-0000-0000-000043640000}"/>
    <cellStyle name="PrePop Currency (0) 12" xfId="25360" xr:uid="{00000000-0005-0000-0000-000044640000}"/>
    <cellStyle name="PrePop Currency (0) 13" xfId="25361" xr:uid="{00000000-0005-0000-0000-000045640000}"/>
    <cellStyle name="PrePop Currency (0) 14" xfId="25362" xr:uid="{00000000-0005-0000-0000-000046640000}"/>
    <cellStyle name="PrePop Currency (0) 15" xfId="25363" xr:uid="{00000000-0005-0000-0000-000047640000}"/>
    <cellStyle name="PrePop Currency (0) 16" xfId="25364" xr:uid="{00000000-0005-0000-0000-000048640000}"/>
    <cellStyle name="PrePop Currency (0) 17" xfId="25365" xr:uid="{00000000-0005-0000-0000-000049640000}"/>
    <cellStyle name="PrePop Currency (0) 18" xfId="25366" xr:uid="{00000000-0005-0000-0000-00004A640000}"/>
    <cellStyle name="PrePop Currency (0) 19" xfId="25367" xr:uid="{00000000-0005-0000-0000-00004B640000}"/>
    <cellStyle name="PrePop Currency (0) 2" xfId="25368" xr:uid="{00000000-0005-0000-0000-00004C640000}"/>
    <cellStyle name="PrePop Currency (0) 20" xfId="25369" xr:uid="{00000000-0005-0000-0000-00004D640000}"/>
    <cellStyle name="PrePop Currency (0) 21" xfId="25370" xr:uid="{00000000-0005-0000-0000-00004E640000}"/>
    <cellStyle name="PrePop Currency (0) 22" xfId="25371" xr:uid="{00000000-0005-0000-0000-00004F640000}"/>
    <cellStyle name="PrePop Currency (0) 23" xfId="25372" xr:uid="{00000000-0005-0000-0000-000050640000}"/>
    <cellStyle name="PrePop Currency (0) 23 2" xfId="25373" xr:uid="{00000000-0005-0000-0000-000051640000}"/>
    <cellStyle name="PrePop Currency (0) 23 3" xfId="25374" xr:uid="{00000000-0005-0000-0000-000052640000}"/>
    <cellStyle name="PrePop Currency (0) 23 4" xfId="25375" xr:uid="{00000000-0005-0000-0000-000053640000}"/>
    <cellStyle name="PrePop Currency (0) 23 5" xfId="25376" xr:uid="{00000000-0005-0000-0000-000054640000}"/>
    <cellStyle name="PrePop Currency (0) 23 6" xfId="25377" xr:uid="{00000000-0005-0000-0000-000055640000}"/>
    <cellStyle name="PrePop Currency (0) 23 7" xfId="25378" xr:uid="{00000000-0005-0000-0000-000056640000}"/>
    <cellStyle name="PrePop Currency (0) 24" xfId="25379" xr:uid="{00000000-0005-0000-0000-000057640000}"/>
    <cellStyle name="PrePop Currency (0) 24 2" xfId="25380" xr:uid="{00000000-0005-0000-0000-000058640000}"/>
    <cellStyle name="PrePop Currency (0) 24 3" xfId="25381" xr:uid="{00000000-0005-0000-0000-000059640000}"/>
    <cellStyle name="PrePop Currency (0) 24 4" xfId="25382" xr:uid="{00000000-0005-0000-0000-00005A640000}"/>
    <cellStyle name="PrePop Currency (0) 24 5" xfId="25383" xr:uid="{00000000-0005-0000-0000-00005B640000}"/>
    <cellStyle name="PrePop Currency (0) 24 6" xfId="25384" xr:uid="{00000000-0005-0000-0000-00005C640000}"/>
    <cellStyle name="PrePop Currency (0) 24 7" xfId="25385" xr:uid="{00000000-0005-0000-0000-00005D640000}"/>
    <cellStyle name="PrePop Currency (0) 25" xfId="25386" xr:uid="{00000000-0005-0000-0000-00005E640000}"/>
    <cellStyle name="PrePop Currency (0) 25 2" xfId="25387" xr:uid="{00000000-0005-0000-0000-00005F640000}"/>
    <cellStyle name="PrePop Currency (0) 25 3" xfId="25388" xr:uid="{00000000-0005-0000-0000-000060640000}"/>
    <cellStyle name="PrePop Currency (0) 25 4" xfId="25389" xr:uid="{00000000-0005-0000-0000-000061640000}"/>
    <cellStyle name="PrePop Currency (0) 25 5" xfId="25390" xr:uid="{00000000-0005-0000-0000-000062640000}"/>
    <cellStyle name="PrePop Currency (0) 25 6" xfId="25391" xr:uid="{00000000-0005-0000-0000-000063640000}"/>
    <cellStyle name="PrePop Currency (0) 25 7" xfId="25392" xr:uid="{00000000-0005-0000-0000-000064640000}"/>
    <cellStyle name="PrePop Currency (0) 26" xfId="25393" xr:uid="{00000000-0005-0000-0000-000065640000}"/>
    <cellStyle name="PrePop Currency (0) 26 2" xfId="25394" xr:uid="{00000000-0005-0000-0000-000066640000}"/>
    <cellStyle name="PrePop Currency (0) 26 3" xfId="25395" xr:uid="{00000000-0005-0000-0000-000067640000}"/>
    <cellStyle name="PrePop Currency (0) 26 4" xfId="25396" xr:uid="{00000000-0005-0000-0000-000068640000}"/>
    <cellStyle name="PrePop Currency (0) 26 5" xfId="25397" xr:uid="{00000000-0005-0000-0000-000069640000}"/>
    <cellStyle name="PrePop Currency (0) 26 6" xfId="25398" xr:uid="{00000000-0005-0000-0000-00006A640000}"/>
    <cellStyle name="PrePop Currency (0) 26 7" xfId="25399" xr:uid="{00000000-0005-0000-0000-00006B640000}"/>
    <cellStyle name="PrePop Currency (0) 27" xfId="25400" xr:uid="{00000000-0005-0000-0000-00006C640000}"/>
    <cellStyle name="PrePop Currency (0) 27 2" xfId="25401" xr:uid="{00000000-0005-0000-0000-00006D640000}"/>
    <cellStyle name="PrePop Currency (0) 27 3" xfId="25402" xr:uid="{00000000-0005-0000-0000-00006E640000}"/>
    <cellStyle name="PrePop Currency (0) 27 4" xfId="25403" xr:uid="{00000000-0005-0000-0000-00006F640000}"/>
    <cellStyle name="PrePop Currency (0) 27 5" xfId="25404" xr:uid="{00000000-0005-0000-0000-000070640000}"/>
    <cellStyle name="PrePop Currency (0) 27 6" xfId="25405" xr:uid="{00000000-0005-0000-0000-000071640000}"/>
    <cellStyle name="PrePop Currency (0) 27 7" xfId="25406" xr:uid="{00000000-0005-0000-0000-000072640000}"/>
    <cellStyle name="PrePop Currency (0) 28" xfId="25407" xr:uid="{00000000-0005-0000-0000-000073640000}"/>
    <cellStyle name="PrePop Currency (0) 28 2" xfId="25408" xr:uid="{00000000-0005-0000-0000-000074640000}"/>
    <cellStyle name="PrePop Currency (0) 28 3" xfId="25409" xr:uid="{00000000-0005-0000-0000-000075640000}"/>
    <cellStyle name="PrePop Currency (0) 28 4" xfId="25410" xr:uid="{00000000-0005-0000-0000-000076640000}"/>
    <cellStyle name="PrePop Currency (0) 28 5" xfId="25411" xr:uid="{00000000-0005-0000-0000-000077640000}"/>
    <cellStyle name="PrePop Currency (0) 28 6" xfId="25412" xr:uid="{00000000-0005-0000-0000-000078640000}"/>
    <cellStyle name="PrePop Currency (0) 28 7" xfId="25413" xr:uid="{00000000-0005-0000-0000-000079640000}"/>
    <cellStyle name="PrePop Currency (0) 29" xfId="25414" xr:uid="{00000000-0005-0000-0000-00007A640000}"/>
    <cellStyle name="PrePop Currency (0) 3" xfId="25415" xr:uid="{00000000-0005-0000-0000-00007B640000}"/>
    <cellStyle name="PrePop Currency (0) 30" xfId="25416" xr:uid="{00000000-0005-0000-0000-00007C640000}"/>
    <cellStyle name="PrePop Currency (0) 31" xfId="25417" xr:uid="{00000000-0005-0000-0000-00007D640000}"/>
    <cellStyle name="PrePop Currency (0) 32" xfId="25418" xr:uid="{00000000-0005-0000-0000-00007E640000}"/>
    <cellStyle name="PrePop Currency (0) 33" xfId="25419" xr:uid="{00000000-0005-0000-0000-00007F640000}"/>
    <cellStyle name="PrePop Currency (0) 34" xfId="25420" xr:uid="{00000000-0005-0000-0000-000080640000}"/>
    <cellStyle name="PrePop Currency (0) 35" xfId="25421" xr:uid="{00000000-0005-0000-0000-000081640000}"/>
    <cellStyle name="PrePop Currency (0) 36" xfId="25422" xr:uid="{00000000-0005-0000-0000-000082640000}"/>
    <cellStyle name="PrePop Currency (0) 37" xfId="25423" xr:uid="{00000000-0005-0000-0000-000083640000}"/>
    <cellStyle name="PrePop Currency (0) 38" xfId="25424" xr:uid="{00000000-0005-0000-0000-000084640000}"/>
    <cellStyle name="PrePop Currency (0) 39" xfId="25425" xr:uid="{00000000-0005-0000-0000-000085640000}"/>
    <cellStyle name="PrePop Currency (0) 4" xfId="25426" xr:uid="{00000000-0005-0000-0000-000086640000}"/>
    <cellStyle name="PrePop Currency (0) 40" xfId="25427" xr:uid="{00000000-0005-0000-0000-000087640000}"/>
    <cellStyle name="PrePop Currency (0) 41" xfId="25428" xr:uid="{00000000-0005-0000-0000-000088640000}"/>
    <cellStyle name="PrePop Currency (0) 42" xfId="25429" xr:uid="{00000000-0005-0000-0000-000089640000}"/>
    <cellStyle name="PrePop Currency (0) 43" xfId="25430" xr:uid="{00000000-0005-0000-0000-00008A640000}"/>
    <cellStyle name="PrePop Currency (0) 44" xfId="25431" xr:uid="{00000000-0005-0000-0000-00008B640000}"/>
    <cellStyle name="PrePop Currency (0) 45" xfId="25432" xr:uid="{00000000-0005-0000-0000-00008C640000}"/>
    <cellStyle name="PrePop Currency (0) 46" xfId="25433" xr:uid="{00000000-0005-0000-0000-00008D640000}"/>
    <cellStyle name="PrePop Currency (0) 47" xfId="25434" xr:uid="{00000000-0005-0000-0000-00008E640000}"/>
    <cellStyle name="PrePop Currency (0) 48" xfId="25435" xr:uid="{00000000-0005-0000-0000-00008F640000}"/>
    <cellStyle name="PrePop Currency (0) 49" xfId="25436" xr:uid="{00000000-0005-0000-0000-000090640000}"/>
    <cellStyle name="PrePop Currency (0) 5" xfId="25437" xr:uid="{00000000-0005-0000-0000-000091640000}"/>
    <cellStyle name="PrePop Currency (0) 50" xfId="25438" xr:uid="{00000000-0005-0000-0000-000092640000}"/>
    <cellStyle name="PrePop Currency (0) 51" xfId="25357" xr:uid="{00000000-0005-0000-0000-000093640000}"/>
    <cellStyle name="PrePop Currency (0) 6" xfId="25439" xr:uid="{00000000-0005-0000-0000-000094640000}"/>
    <cellStyle name="PrePop Currency (0) 7" xfId="25440" xr:uid="{00000000-0005-0000-0000-000095640000}"/>
    <cellStyle name="PrePop Currency (0) 8" xfId="25441" xr:uid="{00000000-0005-0000-0000-000096640000}"/>
    <cellStyle name="PrePop Currency (0) 9" xfId="25442" xr:uid="{00000000-0005-0000-0000-000097640000}"/>
    <cellStyle name="PrePop Currency (2)" xfId="101" xr:uid="{00000000-0005-0000-0000-000098640000}"/>
    <cellStyle name="PrePop Currency (2) 10" xfId="25444" xr:uid="{00000000-0005-0000-0000-000099640000}"/>
    <cellStyle name="PrePop Currency (2) 11" xfId="25445" xr:uid="{00000000-0005-0000-0000-00009A640000}"/>
    <cellStyle name="PrePop Currency (2) 12" xfId="25446" xr:uid="{00000000-0005-0000-0000-00009B640000}"/>
    <cellStyle name="PrePop Currency (2) 13" xfId="25447" xr:uid="{00000000-0005-0000-0000-00009C640000}"/>
    <cellStyle name="PrePop Currency (2) 14" xfId="25448" xr:uid="{00000000-0005-0000-0000-00009D640000}"/>
    <cellStyle name="PrePop Currency (2) 15" xfId="25449" xr:uid="{00000000-0005-0000-0000-00009E640000}"/>
    <cellStyle name="PrePop Currency (2) 16" xfId="25450" xr:uid="{00000000-0005-0000-0000-00009F640000}"/>
    <cellStyle name="PrePop Currency (2) 17" xfId="25451" xr:uid="{00000000-0005-0000-0000-0000A0640000}"/>
    <cellStyle name="PrePop Currency (2) 18" xfId="25452" xr:uid="{00000000-0005-0000-0000-0000A1640000}"/>
    <cellStyle name="PrePop Currency (2) 19" xfId="25453" xr:uid="{00000000-0005-0000-0000-0000A2640000}"/>
    <cellStyle name="PrePop Currency (2) 2" xfId="25454" xr:uid="{00000000-0005-0000-0000-0000A3640000}"/>
    <cellStyle name="PrePop Currency (2) 20" xfId="25455" xr:uid="{00000000-0005-0000-0000-0000A4640000}"/>
    <cellStyle name="PrePop Currency (2) 21" xfId="25456" xr:uid="{00000000-0005-0000-0000-0000A5640000}"/>
    <cellStyle name="PrePop Currency (2) 22" xfId="25457" xr:uid="{00000000-0005-0000-0000-0000A6640000}"/>
    <cellStyle name="PrePop Currency (2) 23" xfId="25458" xr:uid="{00000000-0005-0000-0000-0000A7640000}"/>
    <cellStyle name="PrePop Currency (2) 23 2" xfId="25459" xr:uid="{00000000-0005-0000-0000-0000A8640000}"/>
    <cellStyle name="PrePop Currency (2) 23 3" xfId="25460" xr:uid="{00000000-0005-0000-0000-0000A9640000}"/>
    <cellStyle name="PrePop Currency (2) 23 4" xfId="25461" xr:uid="{00000000-0005-0000-0000-0000AA640000}"/>
    <cellStyle name="PrePop Currency (2) 23 5" xfId="25462" xr:uid="{00000000-0005-0000-0000-0000AB640000}"/>
    <cellStyle name="PrePop Currency (2) 23 6" xfId="25463" xr:uid="{00000000-0005-0000-0000-0000AC640000}"/>
    <cellStyle name="PrePop Currency (2) 23 7" xfId="25464" xr:uid="{00000000-0005-0000-0000-0000AD640000}"/>
    <cellStyle name="PrePop Currency (2) 24" xfId="25465" xr:uid="{00000000-0005-0000-0000-0000AE640000}"/>
    <cellStyle name="PrePop Currency (2) 24 2" xfId="25466" xr:uid="{00000000-0005-0000-0000-0000AF640000}"/>
    <cellStyle name="PrePop Currency (2) 24 3" xfId="25467" xr:uid="{00000000-0005-0000-0000-0000B0640000}"/>
    <cellStyle name="PrePop Currency (2) 24 4" xfId="25468" xr:uid="{00000000-0005-0000-0000-0000B1640000}"/>
    <cellStyle name="PrePop Currency (2) 24 5" xfId="25469" xr:uid="{00000000-0005-0000-0000-0000B2640000}"/>
    <cellStyle name="PrePop Currency (2) 24 6" xfId="25470" xr:uid="{00000000-0005-0000-0000-0000B3640000}"/>
    <cellStyle name="PrePop Currency (2) 24 7" xfId="25471" xr:uid="{00000000-0005-0000-0000-0000B4640000}"/>
    <cellStyle name="PrePop Currency (2) 25" xfId="25472" xr:uid="{00000000-0005-0000-0000-0000B5640000}"/>
    <cellStyle name="PrePop Currency (2) 25 2" xfId="25473" xr:uid="{00000000-0005-0000-0000-0000B6640000}"/>
    <cellStyle name="PrePop Currency (2) 25 3" xfId="25474" xr:uid="{00000000-0005-0000-0000-0000B7640000}"/>
    <cellStyle name="PrePop Currency (2) 25 4" xfId="25475" xr:uid="{00000000-0005-0000-0000-0000B8640000}"/>
    <cellStyle name="PrePop Currency (2) 25 5" xfId="25476" xr:uid="{00000000-0005-0000-0000-0000B9640000}"/>
    <cellStyle name="PrePop Currency (2) 25 6" xfId="25477" xr:uid="{00000000-0005-0000-0000-0000BA640000}"/>
    <cellStyle name="PrePop Currency (2) 25 7" xfId="25478" xr:uid="{00000000-0005-0000-0000-0000BB640000}"/>
    <cellStyle name="PrePop Currency (2) 26" xfId="25479" xr:uid="{00000000-0005-0000-0000-0000BC640000}"/>
    <cellStyle name="PrePop Currency (2) 26 2" xfId="25480" xr:uid="{00000000-0005-0000-0000-0000BD640000}"/>
    <cellStyle name="PrePop Currency (2) 26 3" xfId="25481" xr:uid="{00000000-0005-0000-0000-0000BE640000}"/>
    <cellStyle name="PrePop Currency (2) 26 4" xfId="25482" xr:uid="{00000000-0005-0000-0000-0000BF640000}"/>
    <cellStyle name="PrePop Currency (2) 26 5" xfId="25483" xr:uid="{00000000-0005-0000-0000-0000C0640000}"/>
    <cellStyle name="PrePop Currency (2) 26 6" xfId="25484" xr:uid="{00000000-0005-0000-0000-0000C1640000}"/>
    <cellStyle name="PrePop Currency (2) 26 7" xfId="25485" xr:uid="{00000000-0005-0000-0000-0000C2640000}"/>
    <cellStyle name="PrePop Currency (2) 27" xfId="25486" xr:uid="{00000000-0005-0000-0000-0000C3640000}"/>
    <cellStyle name="PrePop Currency (2) 27 2" xfId="25487" xr:uid="{00000000-0005-0000-0000-0000C4640000}"/>
    <cellStyle name="PrePop Currency (2) 27 3" xfId="25488" xr:uid="{00000000-0005-0000-0000-0000C5640000}"/>
    <cellStyle name="PrePop Currency (2) 27 4" xfId="25489" xr:uid="{00000000-0005-0000-0000-0000C6640000}"/>
    <cellStyle name="PrePop Currency (2) 27 5" xfId="25490" xr:uid="{00000000-0005-0000-0000-0000C7640000}"/>
    <cellStyle name="PrePop Currency (2) 27 6" xfId="25491" xr:uid="{00000000-0005-0000-0000-0000C8640000}"/>
    <cellStyle name="PrePop Currency (2) 27 7" xfId="25492" xr:uid="{00000000-0005-0000-0000-0000C9640000}"/>
    <cellStyle name="PrePop Currency (2) 28" xfId="25493" xr:uid="{00000000-0005-0000-0000-0000CA640000}"/>
    <cellStyle name="PrePop Currency (2) 28 2" xfId="25494" xr:uid="{00000000-0005-0000-0000-0000CB640000}"/>
    <cellStyle name="PrePop Currency (2) 28 3" xfId="25495" xr:uid="{00000000-0005-0000-0000-0000CC640000}"/>
    <cellStyle name="PrePop Currency (2) 28 4" xfId="25496" xr:uid="{00000000-0005-0000-0000-0000CD640000}"/>
    <cellStyle name="PrePop Currency (2) 28 5" xfId="25497" xr:uid="{00000000-0005-0000-0000-0000CE640000}"/>
    <cellStyle name="PrePop Currency (2) 28 6" xfId="25498" xr:uid="{00000000-0005-0000-0000-0000CF640000}"/>
    <cellStyle name="PrePop Currency (2) 28 7" xfId="25499" xr:uid="{00000000-0005-0000-0000-0000D0640000}"/>
    <cellStyle name="PrePop Currency (2) 29" xfId="25500" xr:uid="{00000000-0005-0000-0000-0000D1640000}"/>
    <cellStyle name="PrePop Currency (2) 3" xfId="25501" xr:uid="{00000000-0005-0000-0000-0000D2640000}"/>
    <cellStyle name="PrePop Currency (2) 30" xfId="25502" xr:uid="{00000000-0005-0000-0000-0000D3640000}"/>
    <cellStyle name="PrePop Currency (2) 31" xfId="25503" xr:uid="{00000000-0005-0000-0000-0000D4640000}"/>
    <cellStyle name="PrePop Currency (2) 32" xfId="25504" xr:uid="{00000000-0005-0000-0000-0000D5640000}"/>
    <cellStyle name="PrePop Currency (2) 33" xfId="25505" xr:uid="{00000000-0005-0000-0000-0000D6640000}"/>
    <cellStyle name="PrePop Currency (2) 34" xfId="25506" xr:uid="{00000000-0005-0000-0000-0000D7640000}"/>
    <cellStyle name="PrePop Currency (2) 35" xfId="25507" xr:uid="{00000000-0005-0000-0000-0000D8640000}"/>
    <cellStyle name="PrePop Currency (2) 36" xfId="25508" xr:uid="{00000000-0005-0000-0000-0000D9640000}"/>
    <cellStyle name="PrePop Currency (2) 37" xfId="25509" xr:uid="{00000000-0005-0000-0000-0000DA640000}"/>
    <cellStyle name="PrePop Currency (2) 38" xfId="25510" xr:uid="{00000000-0005-0000-0000-0000DB640000}"/>
    <cellStyle name="PrePop Currency (2) 39" xfId="25511" xr:uid="{00000000-0005-0000-0000-0000DC640000}"/>
    <cellStyle name="PrePop Currency (2) 4" xfId="25512" xr:uid="{00000000-0005-0000-0000-0000DD640000}"/>
    <cellStyle name="PrePop Currency (2) 40" xfId="25513" xr:uid="{00000000-0005-0000-0000-0000DE640000}"/>
    <cellStyle name="PrePop Currency (2) 41" xfId="25514" xr:uid="{00000000-0005-0000-0000-0000DF640000}"/>
    <cellStyle name="PrePop Currency (2) 42" xfId="25515" xr:uid="{00000000-0005-0000-0000-0000E0640000}"/>
    <cellStyle name="PrePop Currency (2) 43" xfId="25516" xr:uid="{00000000-0005-0000-0000-0000E1640000}"/>
    <cellStyle name="PrePop Currency (2) 44" xfId="25517" xr:uid="{00000000-0005-0000-0000-0000E2640000}"/>
    <cellStyle name="PrePop Currency (2) 45" xfId="25518" xr:uid="{00000000-0005-0000-0000-0000E3640000}"/>
    <cellStyle name="PrePop Currency (2) 46" xfId="25519" xr:uid="{00000000-0005-0000-0000-0000E4640000}"/>
    <cellStyle name="PrePop Currency (2) 47" xfId="25520" xr:uid="{00000000-0005-0000-0000-0000E5640000}"/>
    <cellStyle name="PrePop Currency (2) 48" xfId="25521" xr:uid="{00000000-0005-0000-0000-0000E6640000}"/>
    <cellStyle name="PrePop Currency (2) 49" xfId="25522" xr:uid="{00000000-0005-0000-0000-0000E7640000}"/>
    <cellStyle name="PrePop Currency (2) 5" xfId="25523" xr:uid="{00000000-0005-0000-0000-0000E8640000}"/>
    <cellStyle name="PrePop Currency (2) 50" xfId="25524" xr:uid="{00000000-0005-0000-0000-0000E9640000}"/>
    <cellStyle name="PrePop Currency (2) 51" xfId="25443" xr:uid="{00000000-0005-0000-0000-0000EA640000}"/>
    <cellStyle name="PrePop Currency (2) 6" xfId="25525" xr:uid="{00000000-0005-0000-0000-0000EB640000}"/>
    <cellStyle name="PrePop Currency (2) 7" xfId="25526" xr:uid="{00000000-0005-0000-0000-0000EC640000}"/>
    <cellStyle name="PrePop Currency (2) 8" xfId="25527" xr:uid="{00000000-0005-0000-0000-0000ED640000}"/>
    <cellStyle name="PrePop Currency (2) 9" xfId="25528" xr:uid="{00000000-0005-0000-0000-0000EE640000}"/>
    <cellStyle name="PrePop Units (0)" xfId="102" xr:uid="{00000000-0005-0000-0000-0000EF640000}"/>
    <cellStyle name="PrePop Units (0) 10" xfId="25530" xr:uid="{00000000-0005-0000-0000-0000F0640000}"/>
    <cellStyle name="PrePop Units (0) 11" xfId="25531" xr:uid="{00000000-0005-0000-0000-0000F1640000}"/>
    <cellStyle name="PrePop Units (0) 12" xfId="25532" xr:uid="{00000000-0005-0000-0000-0000F2640000}"/>
    <cellStyle name="PrePop Units (0) 13" xfId="25533" xr:uid="{00000000-0005-0000-0000-0000F3640000}"/>
    <cellStyle name="PrePop Units (0) 14" xfId="25534" xr:uid="{00000000-0005-0000-0000-0000F4640000}"/>
    <cellStyle name="PrePop Units (0) 15" xfId="25535" xr:uid="{00000000-0005-0000-0000-0000F5640000}"/>
    <cellStyle name="PrePop Units (0) 16" xfId="25536" xr:uid="{00000000-0005-0000-0000-0000F6640000}"/>
    <cellStyle name="PrePop Units (0) 17" xfId="25537" xr:uid="{00000000-0005-0000-0000-0000F7640000}"/>
    <cellStyle name="PrePop Units (0) 18" xfId="25538" xr:uid="{00000000-0005-0000-0000-0000F8640000}"/>
    <cellStyle name="PrePop Units (0) 19" xfId="25539" xr:uid="{00000000-0005-0000-0000-0000F9640000}"/>
    <cellStyle name="PrePop Units (0) 2" xfId="25540" xr:uid="{00000000-0005-0000-0000-0000FA640000}"/>
    <cellStyle name="PrePop Units (0) 20" xfId="25541" xr:uid="{00000000-0005-0000-0000-0000FB640000}"/>
    <cellStyle name="PrePop Units (0) 21" xfId="25542" xr:uid="{00000000-0005-0000-0000-0000FC640000}"/>
    <cellStyle name="PrePop Units (0) 22" xfId="25543" xr:uid="{00000000-0005-0000-0000-0000FD640000}"/>
    <cellStyle name="PrePop Units (0) 23" xfId="25544" xr:uid="{00000000-0005-0000-0000-0000FE640000}"/>
    <cellStyle name="PrePop Units (0) 23 2" xfId="25545" xr:uid="{00000000-0005-0000-0000-0000FF640000}"/>
    <cellStyle name="PrePop Units (0) 23 3" xfId="25546" xr:uid="{00000000-0005-0000-0000-000000650000}"/>
    <cellStyle name="PrePop Units (0) 23 4" xfId="25547" xr:uid="{00000000-0005-0000-0000-000001650000}"/>
    <cellStyle name="PrePop Units (0) 23 5" xfId="25548" xr:uid="{00000000-0005-0000-0000-000002650000}"/>
    <cellStyle name="PrePop Units (0) 23 6" xfId="25549" xr:uid="{00000000-0005-0000-0000-000003650000}"/>
    <cellStyle name="PrePop Units (0) 23 7" xfId="25550" xr:uid="{00000000-0005-0000-0000-000004650000}"/>
    <cellStyle name="PrePop Units (0) 24" xfId="25551" xr:uid="{00000000-0005-0000-0000-000005650000}"/>
    <cellStyle name="PrePop Units (0) 24 2" xfId="25552" xr:uid="{00000000-0005-0000-0000-000006650000}"/>
    <cellStyle name="PrePop Units (0) 24 3" xfId="25553" xr:uid="{00000000-0005-0000-0000-000007650000}"/>
    <cellStyle name="PrePop Units (0) 24 4" xfId="25554" xr:uid="{00000000-0005-0000-0000-000008650000}"/>
    <cellStyle name="PrePop Units (0) 24 5" xfId="25555" xr:uid="{00000000-0005-0000-0000-000009650000}"/>
    <cellStyle name="PrePop Units (0) 24 6" xfId="25556" xr:uid="{00000000-0005-0000-0000-00000A650000}"/>
    <cellStyle name="PrePop Units (0) 24 7" xfId="25557" xr:uid="{00000000-0005-0000-0000-00000B650000}"/>
    <cellStyle name="PrePop Units (0) 25" xfId="25558" xr:uid="{00000000-0005-0000-0000-00000C650000}"/>
    <cellStyle name="PrePop Units (0) 25 2" xfId="25559" xr:uid="{00000000-0005-0000-0000-00000D650000}"/>
    <cellStyle name="PrePop Units (0) 25 3" xfId="25560" xr:uid="{00000000-0005-0000-0000-00000E650000}"/>
    <cellStyle name="PrePop Units (0) 25 4" xfId="25561" xr:uid="{00000000-0005-0000-0000-00000F650000}"/>
    <cellStyle name="PrePop Units (0) 25 5" xfId="25562" xr:uid="{00000000-0005-0000-0000-000010650000}"/>
    <cellStyle name="PrePop Units (0) 25 6" xfId="25563" xr:uid="{00000000-0005-0000-0000-000011650000}"/>
    <cellStyle name="PrePop Units (0) 25 7" xfId="25564" xr:uid="{00000000-0005-0000-0000-000012650000}"/>
    <cellStyle name="PrePop Units (0) 26" xfId="25565" xr:uid="{00000000-0005-0000-0000-000013650000}"/>
    <cellStyle name="PrePop Units (0) 26 2" xfId="25566" xr:uid="{00000000-0005-0000-0000-000014650000}"/>
    <cellStyle name="PrePop Units (0) 26 3" xfId="25567" xr:uid="{00000000-0005-0000-0000-000015650000}"/>
    <cellStyle name="PrePop Units (0) 26 4" xfId="25568" xr:uid="{00000000-0005-0000-0000-000016650000}"/>
    <cellStyle name="PrePop Units (0) 26 5" xfId="25569" xr:uid="{00000000-0005-0000-0000-000017650000}"/>
    <cellStyle name="PrePop Units (0) 26 6" xfId="25570" xr:uid="{00000000-0005-0000-0000-000018650000}"/>
    <cellStyle name="PrePop Units (0) 26 7" xfId="25571" xr:uid="{00000000-0005-0000-0000-000019650000}"/>
    <cellStyle name="PrePop Units (0) 27" xfId="25572" xr:uid="{00000000-0005-0000-0000-00001A650000}"/>
    <cellStyle name="PrePop Units (0) 27 2" xfId="25573" xr:uid="{00000000-0005-0000-0000-00001B650000}"/>
    <cellStyle name="PrePop Units (0) 27 3" xfId="25574" xr:uid="{00000000-0005-0000-0000-00001C650000}"/>
    <cellStyle name="PrePop Units (0) 27 4" xfId="25575" xr:uid="{00000000-0005-0000-0000-00001D650000}"/>
    <cellStyle name="PrePop Units (0) 27 5" xfId="25576" xr:uid="{00000000-0005-0000-0000-00001E650000}"/>
    <cellStyle name="PrePop Units (0) 27 6" xfId="25577" xr:uid="{00000000-0005-0000-0000-00001F650000}"/>
    <cellStyle name="PrePop Units (0) 27 7" xfId="25578" xr:uid="{00000000-0005-0000-0000-000020650000}"/>
    <cellStyle name="PrePop Units (0) 28" xfId="25579" xr:uid="{00000000-0005-0000-0000-000021650000}"/>
    <cellStyle name="PrePop Units (0) 28 2" xfId="25580" xr:uid="{00000000-0005-0000-0000-000022650000}"/>
    <cellStyle name="PrePop Units (0) 28 3" xfId="25581" xr:uid="{00000000-0005-0000-0000-000023650000}"/>
    <cellStyle name="PrePop Units (0) 28 4" xfId="25582" xr:uid="{00000000-0005-0000-0000-000024650000}"/>
    <cellStyle name="PrePop Units (0) 28 5" xfId="25583" xr:uid="{00000000-0005-0000-0000-000025650000}"/>
    <cellStyle name="PrePop Units (0) 28 6" xfId="25584" xr:uid="{00000000-0005-0000-0000-000026650000}"/>
    <cellStyle name="PrePop Units (0) 28 7" xfId="25585" xr:uid="{00000000-0005-0000-0000-000027650000}"/>
    <cellStyle name="PrePop Units (0) 29" xfId="25586" xr:uid="{00000000-0005-0000-0000-000028650000}"/>
    <cellStyle name="PrePop Units (0) 3" xfId="25587" xr:uid="{00000000-0005-0000-0000-000029650000}"/>
    <cellStyle name="PrePop Units (0) 30" xfId="25588" xr:uid="{00000000-0005-0000-0000-00002A650000}"/>
    <cellStyle name="PrePop Units (0) 31" xfId="25589" xr:uid="{00000000-0005-0000-0000-00002B650000}"/>
    <cellStyle name="PrePop Units (0) 32" xfId="25590" xr:uid="{00000000-0005-0000-0000-00002C650000}"/>
    <cellStyle name="PrePop Units (0) 33" xfId="25591" xr:uid="{00000000-0005-0000-0000-00002D650000}"/>
    <cellStyle name="PrePop Units (0) 34" xfId="25592" xr:uid="{00000000-0005-0000-0000-00002E650000}"/>
    <cellStyle name="PrePop Units (0) 35" xfId="25593" xr:uid="{00000000-0005-0000-0000-00002F650000}"/>
    <cellStyle name="PrePop Units (0) 36" xfId="25594" xr:uid="{00000000-0005-0000-0000-000030650000}"/>
    <cellStyle name="PrePop Units (0) 37" xfId="25595" xr:uid="{00000000-0005-0000-0000-000031650000}"/>
    <cellStyle name="PrePop Units (0) 38" xfId="25596" xr:uid="{00000000-0005-0000-0000-000032650000}"/>
    <cellStyle name="PrePop Units (0) 39" xfId="25597" xr:uid="{00000000-0005-0000-0000-000033650000}"/>
    <cellStyle name="PrePop Units (0) 4" xfId="25598" xr:uid="{00000000-0005-0000-0000-000034650000}"/>
    <cellStyle name="PrePop Units (0) 40" xfId="25599" xr:uid="{00000000-0005-0000-0000-000035650000}"/>
    <cellStyle name="PrePop Units (0) 41" xfId="25600" xr:uid="{00000000-0005-0000-0000-000036650000}"/>
    <cellStyle name="PrePop Units (0) 42" xfId="25601" xr:uid="{00000000-0005-0000-0000-000037650000}"/>
    <cellStyle name="PrePop Units (0) 43" xfId="25602" xr:uid="{00000000-0005-0000-0000-000038650000}"/>
    <cellStyle name="PrePop Units (0) 44" xfId="25603" xr:uid="{00000000-0005-0000-0000-000039650000}"/>
    <cellStyle name="PrePop Units (0) 45" xfId="25604" xr:uid="{00000000-0005-0000-0000-00003A650000}"/>
    <cellStyle name="PrePop Units (0) 46" xfId="25605" xr:uid="{00000000-0005-0000-0000-00003B650000}"/>
    <cellStyle name="PrePop Units (0) 47" xfId="25606" xr:uid="{00000000-0005-0000-0000-00003C650000}"/>
    <cellStyle name="PrePop Units (0) 48" xfId="25607" xr:uid="{00000000-0005-0000-0000-00003D650000}"/>
    <cellStyle name="PrePop Units (0) 49" xfId="25608" xr:uid="{00000000-0005-0000-0000-00003E650000}"/>
    <cellStyle name="PrePop Units (0) 5" xfId="25609" xr:uid="{00000000-0005-0000-0000-00003F650000}"/>
    <cellStyle name="PrePop Units (0) 50" xfId="25610" xr:uid="{00000000-0005-0000-0000-000040650000}"/>
    <cellStyle name="PrePop Units (0) 51" xfId="25529" xr:uid="{00000000-0005-0000-0000-000041650000}"/>
    <cellStyle name="PrePop Units (0) 6" xfId="25611" xr:uid="{00000000-0005-0000-0000-000042650000}"/>
    <cellStyle name="PrePop Units (0) 7" xfId="25612" xr:uid="{00000000-0005-0000-0000-000043650000}"/>
    <cellStyle name="PrePop Units (0) 8" xfId="25613" xr:uid="{00000000-0005-0000-0000-000044650000}"/>
    <cellStyle name="PrePop Units (0) 9" xfId="25614" xr:uid="{00000000-0005-0000-0000-000045650000}"/>
    <cellStyle name="PrePop Units (1)" xfId="103" xr:uid="{00000000-0005-0000-0000-000046650000}"/>
    <cellStyle name="PrePop Units (1) 10" xfId="25616" xr:uid="{00000000-0005-0000-0000-000047650000}"/>
    <cellStyle name="PrePop Units (1) 11" xfId="25617" xr:uid="{00000000-0005-0000-0000-000048650000}"/>
    <cellStyle name="PrePop Units (1) 12" xfId="25618" xr:uid="{00000000-0005-0000-0000-000049650000}"/>
    <cellStyle name="PrePop Units (1) 13" xfId="25619" xr:uid="{00000000-0005-0000-0000-00004A650000}"/>
    <cellStyle name="PrePop Units (1) 14" xfId="25620" xr:uid="{00000000-0005-0000-0000-00004B650000}"/>
    <cellStyle name="PrePop Units (1) 15" xfId="25621" xr:uid="{00000000-0005-0000-0000-00004C650000}"/>
    <cellStyle name="PrePop Units (1) 16" xfId="25622" xr:uid="{00000000-0005-0000-0000-00004D650000}"/>
    <cellStyle name="PrePop Units (1) 17" xfId="25623" xr:uid="{00000000-0005-0000-0000-00004E650000}"/>
    <cellStyle name="PrePop Units (1) 18" xfId="25624" xr:uid="{00000000-0005-0000-0000-00004F650000}"/>
    <cellStyle name="PrePop Units (1) 19" xfId="25625" xr:uid="{00000000-0005-0000-0000-000050650000}"/>
    <cellStyle name="PrePop Units (1) 2" xfId="25626" xr:uid="{00000000-0005-0000-0000-000051650000}"/>
    <cellStyle name="PrePop Units (1) 20" xfId="25627" xr:uid="{00000000-0005-0000-0000-000052650000}"/>
    <cellStyle name="PrePop Units (1) 21" xfId="25628" xr:uid="{00000000-0005-0000-0000-000053650000}"/>
    <cellStyle name="PrePop Units (1) 22" xfId="25629" xr:uid="{00000000-0005-0000-0000-000054650000}"/>
    <cellStyle name="PrePop Units (1) 23" xfId="25630" xr:uid="{00000000-0005-0000-0000-000055650000}"/>
    <cellStyle name="PrePop Units (1) 23 2" xfId="25631" xr:uid="{00000000-0005-0000-0000-000056650000}"/>
    <cellStyle name="PrePop Units (1) 23 3" xfId="25632" xr:uid="{00000000-0005-0000-0000-000057650000}"/>
    <cellStyle name="PrePop Units (1) 23 4" xfId="25633" xr:uid="{00000000-0005-0000-0000-000058650000}"/>
    <cellStyle name="PrePop Units (1) 23 5" xfId="25634" xr:uid="{00000000-0005-0000-0000-000059650000}"/>
    <cellStyle name="PrePop Units (1) 23 6" xfId="25635" xr:uid="{00000000-0005-0000-0000-00005A650000}"/>
    <cellStyle name="PrePop Units (1) 23 7" xfId="25636" xr:uid="{00000000-0005-0000-0000-00005B650000}"/>
    <cellStyle name="PrePop Units (1) 24" xfId="25637" xr:uid="{00000000-0005-0000-0000-00005C650000}"/>
    <cellStyle name="PrePop Units (1) 24 2" xfId="25638" xr:uid="{00000000-0005-0000-0000-00005D650000}"/>
    <cellStyle name="PrePop Units (1) 24 3" xfId="25639" xr:uid="{00000000-0005-0000-0000-00005E650000}"/>
    <cellStyle name="PrePop Units (1) 24 4" xfId="25640" xr:uid="{00000000-0005-0000-0000-00005F650000}"/>
    <cellStyle name="PrePop Units (1) 24 5" xfId="25641" xr:uid="{00000000-0005-0000-0000-000060650000}"/>
    <cellStyle name="PrePop Units (1) 24 6" xfId="25642" xr:uid="{00000000-0005-0000-0000-000061650000}"/>
    <cellStyle name="PrePop Units (1) 24 7" xfId="25643" xr:uid="{00000000-0005-0000-0000-000062650000}"/>
    <cellStyle name="PrePop Units (1) 25" xfId="25644" xr:uid="{00000000-0005-0000-0000-000063650000}"/>
    <cellStyle name="PrePop Units (1) 25 2" xfId="25645" xr:uid="{00000000-0005-0000-0000-000064650000}"/>
    <cellStyle name="PrePop Units (1) 25 3" xfId="25646" xr:uid="{00000000-0005-0000-0000-000065650000}"/>
    <cellStyle name="PrePop Units (1) 25 4" xfId="25647" xr:uid="{00000000-0005-0000-0000-000066650000}"/>
    <cellStyle name="PrePop Units (1) 25 5" xfId="25648" xr:uid="{00000000-0005-0000-0000-000067650000}"/>
    <cellStyle name="PrePop Units (1) 25 6" xfId="25649" xr:uid="{00000000-0005-0000-0000-000068650000}"/>
    <cellStyle name="PrePop Units (1) 25 7" xfId="25650" xr:uid="{00000000-0005-0000-0000-000069650000}"/>
    <cellStyle name="PrePop Units (1) 26" xfId="25651" xr:uid="{00000000-0005-0000-0000-00006A650000}"/>
    <cellStyle name="PrePop Units (1) 26 2" xfId="25652" xr:uid="{00000000-0005-0000-0000-00006B650000}"/>
    <cellStyle name="PrePop Units (1) 26 3" xfId="25653" xr:uid="{00000000-0005-0000-0000-00006C650000}"/>
    <cellStyle name="PrePop Units (1) 26 4" xfId="25654" xr:uid="{00000000-0005-0000-0000-00006D650000}"/>
    <cellStyle name="PrePop Units (1) 26 5" xfId="25655" xr:uid="{00000000-0005-0000-0000-00006E650000}"/>
    <cellStyle name="PrePop Units (1) 26 6" xfId="25656" xr:uid="{00000000-0005-0000-0000-00006F650000}"/>
    <cellStyle name="PrePop Units (1) 26 7" xfId="25657" xr:uid="{00000000-0005-0000-0000-000070650000}"/>
    <cellStyle name="PrePop Units (1) 27" xfId="25658" xr:uid="{00000000-0005-0000-0000-000071650000}"/>
    <cellStyle name="PrePop Units (1) 27 2" xfId="25659" xr:uid="{00000000-0005-0000-0000-000072650000}"/>
    <cellStyle name="PrePop Units (1) 27 3" xfId="25660" xr:uid="{00000000-0005-0000-0000-000073650000}"/>
    <cellStyle name="PrePop Units (1) 27 4" xfId="25661" xr:uid="{00000000-0005-0000-0000-000074650000}"/>
    <cellStyle name="PrePop Units (1) 27 5" xfId="25662" xr:uid="{00000000-0005-0000-0000-000075650000}"/>
    <cellStyle name="PrePop Units (1) 27 6" xfId="25663" xr:uid="{00000000-0005-0000-0000-000076650000}"/>
    <cellStyle name="PrePop Units (1) 27 7" xfId="25664" xr:uid="{00000000-0005-0000-0000-000077650000}"/>
    <cellStyle name="PrePop Units (1) 28" xfId="25665" xr:uid="{00000000-0005-0000-0000-000078650000}"/>
    <cellStyle name="PrePop Units (1) 28 2" xfId="25666" xr:uid="{00000000-0005-0000-0000-000079650000}"/>
    <cellStyle name="PrePop Units (1) 28 3" xfId="25667" xr:uid="{00000000-0005-0000-0000-00007A650000}"/>
    <cellStyle name="PrePop Units (1) 28 4" xfId="25668" xr:uid="{00000000-0005-0000-0000-00007B650000}"/>
    <cellStyle name="PrePop Units (1) 28 5" xfId="25669" xr:uid="{00000000-0005-0000-0000-00007C650000}"/>
    <cellStyle name="PrePop Units (1) 28 6" xfId="25670" xr:uid="{00000000-0005-0000-0000-00007D650000}"/>
    <cellStyle name="PrePop Units (1) 28 7" xfId="25671" xr:uid="{00000000-0005-0000-0000-00007E650000}"/>
    <cellStyle name="PrePop Units (1) 29" xfId="25672" xr:uid="{00000000-0005-0000-0000-00007F650000}"/>
    <cellStyle name="PrePop Units (1) 3" xfId="25673" xr:uid="{00000000-0005-0000-0000-000080650000}"/>
    <cellStyle name="PrePop Units (1) 30" xfId="25674" xr:uid="{00000000-0005-0000-0000-000081650000}"/>
    <cellStyle name="PrePop Units (1) 31" xfId="25675" xr:uid="{00000000-0005-0000-0000-000082650000}"/>
    <cellStyle name="PrePop Units (1) 32" xfId="25676" xr:uid="{00000000-0005-0000-0000-000083650000}"/>
    <cellStyle name="PrePop Units (1) 33" xfId="25677" xr:uid="{00000000-0005-0000-0000-000084650000}"/>
    <cellStyle name="PrePop Units (1) 34" xfId="25678" xr:uid="{00000000-0005-0000-0000-000085650000}"/>
    <cellStyle name="PrePop Units (1) 35" xfId="25679" xr:uid="{00000000-0005-0000-0000-000086650000}"/>
    <cellStyle name="PrePop Units (1) 36" xfId="25680" xr:uid="{00000000-0005-0000-0000-000087650000}"/>
    <cellStyle name="PrePop Units (1) 37" xfId="25681" xr:uid="{00000000-0005-0000-0000-000088650000}"/>
    <cellStyle name="PrePop Units (1) 38" xfId="25682" xr:uid="{00000000-0005-0000-0000-000089650000}"/>
    <cellStyle name="PrePop Units (1) 39" xfId="25683" xr:uid="{00000000-0005-0000-0000-00008A650000}"/>
    <cellStyle name="PrePop Units (1) 4" xfId="25684" xr:uid="{00000000-0005-0000-0000-00008B650000}"/>
    <cellStyle name="PrePop Units (1) 40" xfId="25685" xr:uid="{00000000-0005-0000-0000-00008C650000}"/>
    <cellStyle name="PrePop Units (1) 41" xfId="25686" xr:uid="{00000000-0005-0000-0000-00008D650000}"/>
    <cellStyle name="PrePop Units (1) 42" xfId="25687" xr:uid="{00000000-0005-0000-0000-00008E650000}"/>
    <cellStyle name="PrePop Units (1) 43" xfId="25688" xr:uid="{00000000-0005-0000-0000-00008F650000}"/>
    <cellStyle name="PrePop Units (1) 44" xfId="25689" xr:uid="{00000000-0005-0000-0000-000090650000}"/>
    <cellStyle name="PrePop Units (1) 45" xfId="25690" xr:uid="{00000000-0005-0000-0000-000091650000}"/>
    <cellStyle name="PrePop Units (1) 46" xfId="25691" xr:uid="{00000000-0005-0000-0000-000092650000}"/>
    <cellStyle name="PrePop Units (1) 47" xfId="25692" xr:uid="{00000000-0005-0000-0000-000093650000}"/>
    <cellStyle name="PrePop Units (1) 48" xfId="25693" xr:uid="{00000000-0005-0000-0000-000094650000}"/>
    <cellStyle name="PrePop Units (1) 49" xfId="25694" xr:uid="{00000000-0005-0000-0000-000095650000}"/>
    <cellStyle name="PrePop Units (1) 5" xfId="25695" xr:uid="{00000000-0005-0000-0000-000096650000}"/>
    <cellStyle name="PrePop Units (1) 50" xfId="25696" xr:uid="{00000000-0005-0000-0000-000097650000}"/>
    <cellStyle name="PrePop Units (1) 51" xfId="25615" xr:uid="{00000000-0005-0000-0000-000098650000}"/>
    <cellStyle name="PrePop Units (1) 6" xfId="25697" xr:uid="{00000000-0005-0000-0000-000099650000}"/>
    <cellStyle name="PrePop Units (1) 7" xfId="25698" xr:uid="{00000000-0005-0000-0000-00009A650000}"/>
    <cellStyle name="PrePop Units (1) 8" xfId="25699" xr:uid="{00000000-0005-0000-0000-00009B650000}"/>
    <cellStyle name="PrePop Units (1) 9" xfId="25700" xr:uid="{00000000-0005-0000-0000-00009C650000}"/>
    <cellStyle name="PrePop Units (2)" xfId="104" xr:uid="{00000000-0005-0000-0000-00009D650000}"/>
    <cellStyle name="PrePop Units (2) 10" xfId="25702" xr:uid="{00000000-0005-0000-0000-00009E650000}"/>
    <cellStyle name="PrePop Units (2) 11" xfId="25703" xr:uid="{00000000-0005-0000-0000-00009F650000}"/>
    <cellStyle name="PrePop Units (2) 12" xfId="25704" xr:uid="{00000000-0005-0000-0000-0000A0650000}"/>
    <cellStyle name="PrePop Units (2) 13" xfId="25705" xr:uid="{00000000-0005-0000-0000-0000A1650000}"/>
    <cellStyle name="PrePop Units (2) 14" xfId="25706" xr:uid="{00000000-0005-0000-0000-0000A2650000}"/>
    <cellStyle name="PrePop Units (2) 15" xfId="25707" xr:uid="{00000000-0005-0000-0000-0000A3650000}"/>
    <cellStyle name="PrePop Units (2) 16" xfId="25708" xr:uid="{00000000-0005-0000-0000-0000A4650000}"/>
    <cellStyle name="PrePop Units (2) 17" xfId="25709" xr:uid="{00000000-0005-0000-0000-0000A5650000}"/>
    <cellStyle name="PrePop Units (2) 18" xfId="25710" xr:uid="{00000000-0005-0000-0000-0000A6650000}"/>
    <cellStyle name="PrePop Units (2) 19" xfId="25711" xr:uid="{00000000-0005-0000-0000-0000A7650000}"/>
    <cellStyle name="PrePop Units (2) 2" xfId="25712" xr:uid="{00000000-0005-0000-0000-0000A8650000}"/>
    <cellStyle name="PrePop Units (2) 20" xfId="25713" xr:uid="{00000000-0005-0000-0000-0000A9650000}"/>
    <cellStyle name="PrePop Units (2) 21" xfId="25714" xr:uid="{00000000-0005-0000-0000-0000AA650000}"/>
    <cellStyle name="PrePop Units (2) 22" xfId="25715" xr:uid="{00000000-0005-0000-0000-0000AB650000}"/>
    <cellStyle name="PrePop Units (2) 23" xfId="25716" xr:uid="{00000000-0005-0000-0000-0000AC650000}"/>
    <cellStyle name="PrePop Units (2) 23 2" xfId="25717" xr:uid="{00000000-0005-0000-0000-0000AD650000}"/>
    <cellStyle name="PrePop Units (2) 23 3" xfId="25718" xr:uid="{00000000-0005-0000-0000-0000AE650000}"/>
    <cellStyle name="PrePop Units (2) 23 4" xfId="25719" xr:uid="{00000000-0005-0000-0000-0000AF650000}"/>
    <cellStyle name="PrePop Units (2) 23 5" xfId="25720" xr:uid="{00000000-0005-0000-0000-0000B0650000}"/>
    <cellStyle name="PrePop Units (2) 23 6" xfId="25721" xr:uid="{00000000-0005-0000-0000-0000B1650000}"/>
    <cellStyle name="PrePop Units (2) 23 7" xfId="25722" xr:uid="{00000000-0005-0000-0000-0000B2650000}"/>
    <cellStyle name="PrePop Units (2) 24" xfId="25723" xr:uid="{00000000-0005-0000-0000-0000B3650000}"/>
    <cellStyle name="PrePop Units (2) 24 2" xfId="25724" xr:uid="{00000000-0005-0000-0000-0000B4650000}"/>
    <cellStyle name="PrePop Units (2) 24 3" xfId="25725" xr:uid="{00000000-0005-0000-0000-0000B5650000}"/>
    <cellStyle name="PrePop Units (2) 24 4" xfId="25726" xr:uid="{00000000-0005-0000-0000-0000B6650000}"/>
    <cellStyle name="PrePop Units (2) 24 5" xfId="25727" xr:uid="{00000000-0005-0000-0000-0000B7650000}"/>
    <cellStyle name="PrePop Units (2) 24 6" xfId="25728" xr:uid="{00000000-0005-0000-0000-0000B8650000}"/>
    <cellStyle name="PrePop Units (2) 24 7" xfId="25729" xr:uid="{00000000-0005-0000-0000-0000B9650000}"/>
    <cellStyle name="PrePop Units (2) 25" xfId="25730" xr:uid="{00000000-0005-0000-0000-0000BA650000}"/>
    <cellStyle name="PrePop Units (2) 25 2" xfId="25731" xr:uid="{00000000-0005-0000-0000-0000BB650000}"/>
    <cellStyle name="PrePop Units (2) 25 3" xfId="25732" xr:uid="{00000000-0005-0000-0000-0000BC650000}"/>
    <cellStyle name="PrePop Units (2) 25 4" xfId="25733" xr:uid="{00000000-0005-0000-0000-0000BD650000}"/>
    <cellStyle name="PrePop Units (2) 25 5" xfId="25734" xr:uid="{00000000-0005-0000-0000-0000BE650000}"/>
    <cellStyle name="PrePop Units (2) 25 6" xfId="25735" xr:uid="{00000000-0005-0000-0000-0000BF650000}"/>
    <cellStyle name="PrePop Units (2) 25 7" xfId="25736" xr:uid="{00000000-0005-0000-0000-0000C0650000}"/>
    <cellStyle name="PrePop Units (2) 26" xfId="25737" xr:uid="{00000000-0005-0000-0000-0000C1650000}"/>
    <cellStyle name="PrePop Units (2) 26 2" xfId="25738" xr:uid="{00000000-0005-0000-0000-0000C2650000}"/>
    <cellStyle name="PrePop Units (2) 26 3" xfId="25739" xr:uid="{00000000-0005-0000-0000-0000C3650000}"/>
    <cellStyle name="PrePop Units (2) 26 4" xfId="25740" xr:uid="{00000000-0005-0000-0000-0000C4650000}"/>
    <cellStyle name="PrePop Units (2) 26 5" xfId="25741" xr:uid="{00000000-0005-0000-0000-0000C5650000}"/>
    <cellStyle name="PrePop Units (2) 26 6" xfId="25742" xr:uid="{00000000-0005-0000-0000-0000C6650000}"/>
    <cellStyle name="PrePop Units (2) 26 7" xfId="25743" xr:uid="{00000000-0005-0000-0000-0000C7650000}"/>
    <cellStyle name="PrePop Units (2) 27" xfId="25744" xr:uid="{00000000-0005-0000-0000-0000C8650000}"/>
    <cellStyle name="PrePop Units (2) 27 2" xfId="25745" xr:uid="{00000000-0005-0000-0000-0000C9650000}"/>
    <cellStyle name="PrePop Units (2) 27 3" xfId="25746" xr:uid="{00000000-0005-0000-0000-0000CA650000}"/>
    <cellStyle name="PrePop Units (2) 27 4" xfId="25747" xr:uid="{00000000-0005-0000-0000-0000CB650000}"/>
    <cellStyle name="PrePop Units (2) 27 5" xfId="25748" xr:uid="{00000000-0005-0000-0000-0000CC650000}"/>
    <cellStyle name="PrePop Units (2) 27 6" xfId="25749" xr:uid="{00000000-0005-0000-0000-0000CD650000}"/>
    <cellStyle name="PrePop Units (2) 27 7" xfId="25750" xr:uid="{00000000-0005-0000-0000-0000CE650000}"/>
    <cellStyle name="PrePop Units (2) 28" xfId="25751" xr:uid="{00000000-0005-0000-0000-0000CF650000}"/>
    <cellStyle name="PrePop Units (2) 28 2" xfId="25752" xr:uid="{00000000-0005-0000-0000-0000D0650000}"/>
    <cellStyle name="PrePop Units (2) 28 3" xfId="25753" xr:uid="{00000000-0005-0000-0000-0000D1650000}"/>
    <cellStyle name="PrePop Units (2) 28 4" xfId="25754" xr:uid="{00000000-0005-0000-0000-0000D2650000}"/>
    <cellStyle name="PrePop Units (2) 28 5" xfId="25755" xr:uid="{00000000-0005-0000-0000-0000D3650000}"/>
    <cellStyle name="PrePop Units (2) 28 6" xfId="25756" xr:uid="{00000000-0005-0000-0000-0000D4650000}"/>
    <cellStyle name="PrePop Units (2) 28 7" xfId="25757" xr:uid="{00000000-0005-0000-0000-0000D5650000}"/>
    <cellStyle name="PrePop Units (2) 29" xfId="25758" xr:uid="{00000000-0005-0000-0000-0000D6650000}"/>
    <cellStyle name="PrePop Units (2) 3" xfId="25759" xr:uid="{00000000-0005-0000-0000-0000D7650000}"/>
    <cellStyle name="PrePop Units (2) 30" xfId="25760" xr:uid="{00000000-0005-0000-0000-0000D8650000}"/>
    <cellStyle name="PrePop Units (2) 31" xfId="25761" xr:uid="{00000000-0005-0000-0000-0000D9650000}"/>
    <cellStyle name="PrePop Units (2) 32" xfId="25762" xr:uid="{00000000-0005-0000-0000-0000DA650000}"/>
    <cellStyle name="PrePop Units (2) 33" xfId="25763" xr:uid="{00000000-0005-0000-0000-0000DB650000}"/>
    <cellStyle name="PrePop Units (2) 34" xfId="25764" xr:uid="{00000000-0005-0000-0000-0000DC650000}"/>
    <cellStyle name="PrePop Units (2) 35" xfId="25765" xr:uid="{00000000-0005-0000-0000-0000DD650000}"/>
    <cellStyle name="PrePop Units (2) 36" xfId="25766" xr:uid="{00000000-0005-0000-0000-0000DE650000}"/>
    <cellStyle name="PrePop Units (2) 37" xfId="25767" xr:uid="{00000000-0005-0000-0000-0000DF650000}"/>
    <cellStyle name="PrePop Units (2) 38" xfId="25768" xr:uid="{00000000-0005-0000-0000-0000E0650000}"/>
    <cellStyle name="PrePop Units (2) 39" xfId="25769" xr:uid="{00000000-0005-0000-0000-0000E1650000}"/>
    <cellStyle name="PrePop Units (2) 4" xfId="25770" xr:uid="{00000000-0005-0000-0000-0000E2650000}"/>
    <cellStyle name="PrePop Units (2) 40" xfId="25771" xr:uid="{00000000-0005-0000-0000-0000E3650000}"/>
    <cellStyle name="PrePop Units (2) 41" xfId="25772" xr:uid="{00000000-0005-0000-0000-0000E4650000}"/>
    <cellStyle name="PrePop Units (2) 42" xfId="25773" xr:uid="{00000000-0005-0000-0000-0000E5650000}"/>
    <cellStyle name="PrePop Units (2) 43" xfId="25774" xr:uid="{00000000-0005-0000-0000-0000E6650000}"/>
    <cellStyle name="PrePop Units (2) 44" xfId="25775" xr:uid="{00000000-0005-0000-0000-0000E7650000}"/>
    <cellStyle name="PrePop Units (2) 45" xfId="25776" xr:uid="{00000000-0005-0000-0000-0000E8650000}"/>
    <cellStyle name="PrePop Units (2) 46" xfId="25777" xr:uid="{00000000-0005-0000-0000-0000E9650000}"/>
    <cellStyle name="PrePop Units (2) 47" xfId="25778" xr:uid="{00000000-0005-0000-0000-0000EA650000}"/>
    <cellStyle name="PrePop Units (2) 48" xfId="25779" xr:uid="{00000000-0005-0000-0000-0000EB650000}"/>
    <cellStyle name="PrePop Units (2) 49" xfId="25780" xr:uid="{00000000-0005-0000-0000-0000EC650000}"/>
    <cellStyle name="PrePop Units (2) 5" xfId="25781" xr:uid="{00000000-0005-0000-0000-0000ED650000}"/>
    <cellStyle name="PrePop Units (2) 50" xfId="25782" xr:uid="{00000000-0005-0000-0000-0000EE650000}"/>
    <cellStyle name="PrePop Units (2) 51" xfId="25701" xr:uid="{00000000-0005-0000-0000-0000EF650000}"/>
    <cellStyle name="PrePop Units (2) 6" xfId="25783" xr:uid="{00000000-0005-0000-0000-0000F0650000}"/>
    <cellStyle name="PrePop Units (2) 7" xfId="25784" xr:uid="{00000000-0005-0000-0000-0000F1650000}"/>
    <cellStyle name="PrePop Units (2) 8" xfId="25785" xr:uid="{00000000-0005-0000-0000-0000F2650000}"/>
    <cellStyle name="PrePop Units (2) 9" xfId="25786" xr:uid="{00000000-0005-0000-0000-0000F3650000}"/>
    <cellStyle name="Procent 2" xfId="30621" xr:uid="{00000000-0005-0000-0000-0000F4650000}"/>
    <cellStyle name="Procent 2 2" xfId="30622" xr:uid="{00000000-0005-0000-0000-0000F5650000}"/>
    <cellStyle name="Procent 2 2 2" xfId="30623" xr:uid="{00000000-0005-0000-0000-0000F6650000}"/>
    <cellStyle name="Procent 2 2 2 2" xfId="30624" xr:uid="{00000000-0005-0000-0000-0000F7650000}"/>
    <cellStyle name="Procent 2 3" xfId="30625" xr:uid="{00000000-0005-0000-0000-0000F8650000}"/>
    <cellStyle name="Procent 3" xfId="30626" xr:uid="{00000000-0005-0000-0000-0000F9650000}"/>
    <cellStyle name="Procent 3 2" xfId="30627" xr:uid="{00000000-0005-0000-0000-0000FA650000}"/>
    <cellStyle name="Procent 4" xfId="30628" xr:uid="{00000000-0005-0000-0000-0000FB650000}"/>
    <cellStyle name="Samtala" xfId="35" xr:uid="{00000000-0005-0000-0000-0000FC650000}"/>
    <cellStyle name="Samtala - lokaniðurst." xfId="36" xr:uid="{00000000-0005-0000-0000-0000FD650000}"/>
    <cellStyle name="Samtala - lokaniðurst. 10" xfId="25789" xr:uid="{00000000-0005-0000-0000-0000FE650000}"/>
    <cellStyle name="Samtala - lokaniðurst. 11" xfId="25790" xr:uid="{00000000-0005-0000-0000-0000FF650000}"/>
    <cellStyle name="Samtala - lokaniðurst. 12" xfId="25791" xr:uid="{00000000-0005-0000-0000-000000660000}"/>
    <cellStyle name="Samtala - lokaniðurst. 13" xfId="25792" xr:uid="{00000000-0005-0000-0000-000001660000}"/>
    <cellStyle name="Samtala - lokaniðurst. 14" xfId="25793" xr:uid="{00000000-0005-0000-0000-000002660000}"/>
    <cellStyle name="Samtala - lokaniðurst. 15" xfId="25794" xr:uid="{00000000-0005-0000-0000-000003660000}"/>
    <cellStyle name="Samtala - lokaniðurst. 16" xfId="25795" xr:uid="{00000000-0005-0000-0000-000004660000}"/>
    <cellStyle name="Samtala - lokaniðurst. 17" xfId="25796" xr:uid="{00000000-0005-0000-0000-000005660000}"/>
    <cellStyle name="Samtala - lokaniðurst. 18" xfId="25797" xr:uid="{00000000-0005-0000-0000-000006660000}"/>
    <cellStyle name="Samtala - lokaniðurst. 19" xfId="25798" xr:uid="{00000000-0005-0000-0000-000007660000}"/>
    <cellStyle name="Samtala - lokaniðurst. 2" xfId="105" xr:uid="{00000000-0005-0000-0000-000008660000}"/>
    <cellStyle name="Samtala - lokaniðurst. 2 2" xfId="25799" xr:uid="{00000000-0005-0000-0000-000009660000}"/>
    <cellStyle name="Samtala - lokaniðurst. 20" xfId="25800" xr:uid="{00000000-0005-0000-0000-00000A660000}"/>
    <cellStyle name="Samtala - lokaniðurst. 21" xfId="25801" xr:uid="{00000000-0005-0000-0000-00000B660000}"/>
    <cellStyle name="Samtala - lokaniðurst. 22" xfId="25802" xr:uid="{00000000-0005-0000-0000-00000C660000}"/>
    <cellStyle name="Samtala - lokaniðurst. 23" xfId="25803" xr:uid="{00000000-0005-0000-0000-00000D660000}"/>
    <cellStyle name="Samtala - lokaniðurst. 24" xfId="25804" xr:uid="{00000000-0005-0000-0000-00000E660000}"/>
    <cellStyle name="Samtala - lokaniðurst. 25" xfId="25805" xr:uid="{00000000-0005-0000-0000-00000F660000}"/>
    <cellStyle name="Samtala - lokaniðurst. 26" xfId="25806" xr:uid="{00000000-0005-0000-0000-000010660000}"/>
    <cellStyle name="Samtala - lokaniðurst. 27" xfId="25807" xr:uid="{00000000-0005-0000-0000-000011660000}"/>
    <cellStyle name="Samtala - lokaniðurst. 28" xfId="25808" xr:uid="{00000000-0005-0000-0000-000012660000}"/>
    <cellStyle name="Samtala - lokaniðurst. 29" xfId="25809" xr:uid="{00000000-0005-0000-0000-000013660000}"/>
    <cellStyle name="Samtala - lokaniðurst. 3" xfId="25810" xr:uid="{00000000-0005-0000-0000-000014660000}"/>
    <cellStyle name="Samtala - lokaniðurst. 30" xfId="25811" xr:uid="{00000000-0005-0000-0000-000015660000}"/>
    <cellStyle name="Samtala - lokaniðurst. 31" xfId="25812" xr:uid="{00000000-0005-0000-0000-000016660000}"/>
    <cellStyle name="Samtala - lokaniðurst. 32" xfId="25813" xr:uid="{00000000-0005-0000-0000-000017660000}"/>
    <cellStyle name="Samtala - lokaniðurst. 33" xfId="25814" xr:uid="{00000000-0005-0000-0000-000018660000}"/>
    <cellStyle name="Samtala - lokaniðurst. 34" xfId="25815" xr:uid="{00000000-0005-0000-0000-000019660000}"/>
    <cellStyle name="Samtala - lokaniðurst. 35" xfId="25816" xr:uid="{00000000-0005-0000-0000-00001A660000}"/>
    <cellStyle name="Samtala - lokaniðurst. 36" xfId="25817" xr:uid="{00000000-0005-0000-0000-00001B660000}"/>
    <cellStyle name="Samtala - lokaniðurst. 37" xfId="25818" xr:uid="{00000000-0005-0000-0000-00001C660000}"/>
    <cellStyle name="Samtala - lokaniðurst. 38" xfId="25819" xr:uid="{00000000-0005-0000-0000-00001D660000}"/>
    <cellStyle name="Samtala - lokaniðurst. 39" xfId="25820" xr:uid="{00000000-0005-0000-0000-00001E660000}"/>
    <cellStyle name="Samtala - lokaniðurst. 4" xfId="25821" xr:uid="{00000000-0005-0000-0000-00001F660000}"/>
    <cellStyle name="Samtala - lokaniðurst. 40" xfId="25788" xr:uid="{00000000-0005-0000-0000-000020660000}"/>
    <cellStyle name="Samtala - lokaniðurst. 5" xfId="25822" xr:uid="{00000000-0005-0000-0000-000021660000}"/>
    <cellStyle name="Samtala - lokaniðurst. 6" xfId="25823" xr:uid="{00000000-0005-0000-0000-000022660000}"/>
    <cellStyle name="Samtala - lokaniðurst. 7" xfId="25824" xr:uid="{00000000-0005-0000-0000-000023660000}"/>
    <cellStyle name="Samtala - lokaniðurst. 8" xfId="25825" xr:uid="{00000000-0005-0000-0000-000024660000}"/>
    <cellStyle name="Samtala - lokaniðurst. 9" xfId="25826" xr:uid="{00000000-0005-0000-0000-000025660000}"/>
    <cellStyle name="Samtala - undirstr" xfId="37" xr:uid="{00000000-0005-0000-0000-000026660000}"/>
    <cellStyle name="Samtala - undirstr 2" xfId="25828" xr:uid="{00000000-0005-0000-0000-000027660000}"/>
    <cellStyle name="Samtala - undirstr 3" xfId="25829" xr:uid="{00000000-0005-0000-0000-000028660000}"/>
    <cellStyle name="Samtala - undirstr 4" xfId="25830" xr:uid="{00000000-0005-0000-0000-000029660000}"/>
    <cellStyle name="Samtala - undirstr 5" xfId="25831" xr:uid="{00000000-0005-0000-0000-00002A660000}"/>
    <cellStyle name="Samtala - undirstr 6" xfId="25832" xr:uid="{00000000-0005-0000-0000-00002B660000}"/>
    <cellStyle name="Samtala - undirstr 7" xfId="25833" xr:uid="{00000000-0005-0000-0000-00002C660000}"/>
    <cellStyle name="Samtala - undirstr 8" xfId="25834" xr:uid="{00000000-0005-0000-0000-00002D660000}"/>
    <cellStyle name="Samtala - undirstr 9" xfId="25827" xr:uid="{00000000-0005-0000-0000-00002E660000}"/>
    <cellStyle name="Samtala - yfirstr." xfId="38" xr:uid="{00000000-0005-0000-0000-00002F660000}"/>
    <cellStyle name="Samtala - yfirstr. 2" xfId="25836" xr:uid="{00000000-0005-0000-0000-000030660000}"/>
    <cellStyle name="Samtala - yfirstr. 3" xfId="25837" xr:uid="{00000000-0005-0000-0000-000031660000}"/>
    <cellStyle name="Samtala - yfirstr. 4" xfId="25838" xr:uid="{00000000-0005-0000-0000-000032660000}"/>
    <cellStyle name="Samtala - yfirstr. 5" xfId="25839" xr:uid="{00000000-0005-0000-0000-000033660000}"/>
    <cellStyle name="Samtala - yfirstr. 6" xfId="25840" xr:uid="{00000000-0005-0000-0000-000034660000}"/>
    <cellStyle name="Samtala - yfirstr. 7" xfId="25841" xr:uid="{00000000-0005-0000-0000-000035660000}"/>
    <cellStyle name="Samtala - yfirstr. 8" xfId="25842" xr:uid="{00000000-0005-0000-0000-000036660000}"/>
    <cellStyle name="Samtala - yfirstr. 9" xfId="25835" xr:uid="{00000000-0005-0000-0000-000037660000}"/>
    <cellStyle name="Samtala 10" xfId="25843" xr:uid="{00000000-0005-0000-0000-000038660000}"/>
    <cellStyle name="Samtala 11" xfId="25844" xr:uid="{00000000-0005-0000-0000-000039660000}"/>
    <cellStyle name="Samtala 12" xfId="25845" xr:uid="{00000000-0005-0000-0000-00003A660000}"/>
    <cellStyle name="Samtala 13" xfId="25846" xr:uid="{00000000-0005-0000-0000-00003B660000}"/>
    <cellStyle name="Samtala 14" xfId="25787" xr:uid="{00000000-0005-0000-0000-00003C660000}"/>
    <cellStyle name="Samtala 2" xfId="25847" xr:uid="{00000000-0005-0000-0000-00003D660000}"/>
    <cellStyle name="Samtala 3" xfId="25848" xr:uid="{00000000-0005-0000-0000-00003E660000}"/>
    <cellStyle name="Samtala 4" xfId="25849" xr:uid="{00000000-0005-0000-0000-00003F660000}"/>
    <cellStyle name="Samtala 5" xfId="25850" xr:uid="{00000000-0005-0000-0000-000040660000}"/>
    <cellStyle name="Samtala 6" xfId="25851" xr:uid="{00000000-0005-0000-0000-000041660000}"/>
    <cellStyle name="Samtala 7" xfId="25852" xr:uid="{00000000-0005-0000-0000-000042660000}"/>
    <cellStyle name="Samtala 8" xfId="25853" xr:uid="{00000000-0005-0000-0000-000043660000}"/>
    <cellStyle name="Samtala 9" xfId="25854" xr:uid="{00000000-0005-0000-0000-000044660000}"/>
    <cellStyle name="Samtala_Kolla1" xfId="25855" xr:uid="{00000000-0005-0000-0000-000045660000}"/>
    <cellStyle name="Style 1" xfId="106" xr:uid="{00000000-0005-0000-0000-000046660000}"/>
    <cellStyle name="Style 1 10" xfId="25856" xr:uid="{00000000-0005-0000-0000-000047660000}"/>
    <cellStyle name="Style 1 11" xfId="25857" xr:uid="{00000000-0005-0000-0000-000048660000}"/>
    <cellStyle name="Style 1 12" xfId="25858" xr:uid="{00000000-0005-0000-0000-000049660000}"/>
    <cellStyle name="Style 1 13" xfId="25859" xr:uid="{00000000-0005-0000-0000-00004A660000}"/>
    <cellStyle name="Style 1 14" xfId="25860" xr:uid="{00000000-0005-0000-0000-00004B660000}"/>
    <cellStyle name="Style 1 15" xfId="25861" xr:uid="{00000000-0005-0000-0000-00004C660000}"/>
    <cellStyle name="Style 1 16" xfId="25862" xr:uid="{00000000-0005-0000-0000-00004D660000}"/>
    <cellStyle name="Style 1 17" xfId="25863" xr:uid="{00000000-0005-0000-0000-00004E660000}"/>
    <cellStyle name="Style 1 18" xfId="25864" xr:uid="{00000000-0005-0000-0000-00004F660000}"/>
    <cellStyle name="Style 1 19" xfId="25865" xr:uid="{00000000-0005-0000-0000-000050660000}"/>
    <cellStyle name="Style 1 2" xfId="25866" xr:uid="{00000000-0005-0000-0000-000051660000}"/>
    <cellStyle name="Style 1 20" xfId="25867" xr:uid="{00000000-0005-0000-0000-000052660000}"/>
    <cellStyle name="Style 1 21" xfId="25868" xr:uid="{00000000-0005-0000-0000-000053660000}"/>
    <cellStyle name="Style 1 22" xfId="25869" xr:uid="{00000000-0005-0000-0000-000054660000}"/>
    <cellStyle name="Style 1 23" xfId="25870" xr:uid="{00000000-0005-0000-0000-000055660000}"/>
    <cellStyle name="Style 1 24" xfId="25871" xr:uid="{00000000-0005-0000-0000-000056660000}"/>
    <cellStyle name="Style 1 25" xfId="25872" xr:uid="{00000000-0005-0000-0000-000057660000}"/>
    <cellStyle name="Style 1 26" xfId="25873" xr:uid="{00000000-0005-0000-0000-000058660000}"/>
    <cellStyle name="Style 1 27" xfId="25874" xr:uid="{00000000-0005-0000-0000-000059660000}"/>
    <cellStyle name="Style 1 28" xfId="25875" xr:uid="{00000000-0005-0000-0000-00005A660000}"/>
    <cellStyle name="Style 1 29" xfId="25876" xr:uid="{00000000-0005-0000-0000-00005B660000}"/>
    <cellStyle name="Style 1 3" xfId="25877" xr:uid="{00000000-0005-0000-0000-00005C660000}"/>
    <cellStyle name="Style 1 30" xfId="25878" xr:uid="{00000000-0005-0000-0000-00005D660000}"/>
    <cellStyle name="Style 1 31" xfId="25879" xr:uid="{00000000-0005-0000-0000-00005E660000}"/>
    <cellStyle name="Style 1 32" xfId="25880" xr:uid="{00000000-0005-0000-0000-00005F660000}"/>
    <cellStyle name="Style 1 33" xfId="25881" xr:uid="{00000000-0005-0000-0000-000060660000}"/>
    <cellStyle name="Style 1 34" xfId="25882" xr:uid="{00000000-0005-0000-0000-000061660000}"/>
    <cellStyle name="Style 1 35" xfId="25883" xr:uid="{00000000-0005-0000-0000-000062660000}"/>
    <cellStyle name="Style 1 36" xfId="25884" xr:uid="{00000000-0005-0000-0000-000063660000}"/>
    <cellStyle name="Style 1 37" xfId="25885" xr:uid="{00000000-0005-0000-0000-000064660000}"/>
    <cellStyle name="Style 1 38" xfId="25886" xr:uid="{00000000-0005-0000-0000-000065660000}"/>
    <cellStyle name="Style 1 39" xfId="25887" xr:uid="{00000000-0005-0000-0000-000066660000}"/>
    <cellStyle name="Style 1 4" xfId="25888" xr:uid="{00000000-0005-0000-0000-000067660000}"/>
    <cellStyle name="Style 1 5" xfId="25889" xr:uid="{00000000-0005-0000-0000-000068660000}"/>
    <cellStyle name="Style 1 6" xfId="25890" xr:uid="{00000000-0005-0000-0000-000069660000}"/>
    <cellStyle name="Style 1 7" xfId="25891" xr:uid="{00000000-0005-0000-0000-00006A660000}"/>
    <cellStyle name="Style 1 8" xfId="25892" xr:uid="{00000000-0005-0000-0000-00006B660000}"/>
    <cellStyle name="Style 1 9" xfId="25893" xr:uid="{00000000-0005-0000-0000-00006C660000}"/>
    <cellStyle name="Svigar" xfId="25894" xr:uid="{00000000-0005-0000-0000-00006D660000}"/>
    <cellStyle name="Text Indent A" xfId="107" xr:uid="{00000000-0005-0000-0000-00006E660000}"/>
    <cellStyle name="Text Indent A 2" xfId="25896" xr:uid="{00000000-0005-0000-0000-00006F660000}"/>
    <cellStyle name="Text Indent A 3" xfId="25895" xr:uid="{00000000-0005-0000-0000-000070660000}"/>
    <cellStyle name="Text Indent B" xfId="108" xr:uid="{00000000-0005-0000-0000-000071660000}"/>
    <cellStyle name="Text Indent B 2" xfId="25898" xr:uid="{00000000-0005-0000-0000-000072660000}"/>
    <cellStyle name="Text Indent B 3" xfId="25897" xr:uid="{00000000-0005-0000-0000-000073660000}"/>
    <cellStyle name="Text Indent C" xfId="109" xr:uid="{00000000-0005-0000-0000-000074660000}"/>
    <cellStyle name="Text Indent C 10" xfId="25900" xr:uid="{00000000-0005-0000-0000-000075660000}"/>
    <cellStyle name="Text Indent C 11" xfId="25901" xr:uid="{00000000-0005-0000-0000-000076660000}"/>
    <cellStyle name="Text Indent C 12" xfId="25902" xr:uid="{00000000-0005-0000-0000-000077660000}"/>
    <cellStyle name="Text Indent C 13" xfId="25903" xr:uid="{00000000-0005-0000-0000-000078660000}"/>
    <cellStyle name="Text Indent C 14" xfId="25904" xr:uid="{00000000-0005-0000-0000-000079660000}"/>
    <cellStyle name="Text Indent C 15" xfId="25905" xr:uid="{00000000-0005-0000-0000-00007A660000}"/>
    <cellStyle name="Text Indent C 16" xfId="25906" xr:uid="{00000000-0005-0000-0000-00007B660000}"/>
    <cellStyle name="Text Indent C 17" xfId="25907" xr:uid="{00000000-0005-0000-0000-00007C660000}"/>
    <cellStyle name="Text Indent C 18" xfId="25908" xr:uid="{00000000-0005-0000-0000-00007D660000}"/>
    <cellStyle name="Text Indent C 19" xfId="25909" xr:uid="{00000000-0005-0000-0000-00007E660000}"/>
    <cellStyle name="Text Indent C 2" xfId="25910" xr:uid="{00000000-0005-0000-0000-00007F660000}"/>
    <cellStyle name="Text Indent C 20" xfId="25911" xr:uid="{00000000-0005-0000-0000-000080660000}"/>
    <cellStyle name="Text Indent C 21" xfId="25912" xr:uid="{00000000-0005-0000-0000-000081660000}"/>
    <cellStyle name="Text Indent C 22" xfId="25913" xr:uid="{00000000-0005-0000-0000-000082660000}"/>
    <cellStyle name="Text Indent C 23" xfId="25914" xr:uid="{00000000-0005-0000-0000-000083660000}"/>
    <cellStyle name="Text Indent C 23 2" xfId="25915" xr:uid="{00000000-0005-0000-0000-000084660000}"/>
    <cellStyle name="Text Indent C 23 3" xfId="25916" xr:uid="{00000000-0005-0000-0000-000085660000}"/>
    <cellStyle name="Text Indent C 23 4" xfId="25917" xr:uid="{00000000-0005-0000-0000-000086660000}"/>
    <cellStyle name="Text Indent C 23 5" xfId="25918" xr:uid="{00000000-0005-0000-0000-000087660000}"/>
    <cellStyle name="Text Indent C 23 6" xfId="25919" xr:uid="{00000000-0005-0000-0000-000088660000}"/>
    <cellStyle name="Text Indent C 23 7" xfId="25920" xr:uid="{00000000-0005-0000-0000-000089660000}"/>
    <cellStyle name="Text Indent C 24" xfId="25921" xr:uid="{00000000-0005-0000-0000-00008A660000}"/>
    <cellStyle name="Text Indent C 24 2" xfId="25922" xr:uid="{00000000-0005-0000-0000-00008B660000}"/>
    <cellStyle name="Text Indent C 24 3" xfId="25923" xr:uid="{00000000-0005-0000-0000-00008C660000}"/>
    <cellStyle name="Text Indent C 24 4" xfId="25924" xr:uid="{00000000-0005-0000-0000-00008D660000}"/>
    <cellStyle name="Text Indent C 24 5" xfId="25925" xr:uid="{00000000-0005-0000-0000-00008E660000}"/>
    <cellStyle name="Text Indent C 24 6" xfId="25926" xr:uid="{00000000-0005-0000-0000-00008F660000}"/>
    <cellStyle name="Text Indent C 24 7" xfId="25927" xr:uid="{00000000-0005-0000-0000-000090660000}"/>
    <cellStyle name="Text Indent C 25" xfId="25928" xr:uid="{00000000-0005-0000-0000-000091660000}"/>
    <cellStyle name="Text Indent C 25 2" xfId="25929" xr:uid="{00000000-0005-0000-0000-000092660000}"/>
    <cellStyle name="Text Indent C 25 3" xfId="25930" xr:uid="{00000000-0005-0000-0000-000093660000}"/>
    <cellStyle name="Text Indent C 25 4" xfId="25931" xr:uid="{00000000-0005-0000-0000-000094660000}"/>
    <cellStyle name="Text Indent C 25 5" xfId="25932" xr:uid="{00000000-0005-0000-0000-000095660000}"/>
    <cellStyle name="Text Indent C 25 6" xfId="25933" xr:uid="{00000000-0005-0000-0000-000096660000}"/>
    <cellStyle name="Text Indent C 25 7" xfId="25934" xr:uid="{00000000-0005-0000-0000-000097660000}"/>
    <cellStyle name="Text Indent C 26" xfId="25935" xr:uid="{00000000-0005-0000-0000-000098660000}"/>
    <cellStyle name="Text Indent C 26 2" xfId="25936" xr:uid="{00000000-0005-0000-0000-000099660000}"/>
    <cellStyle name="Text Indent C 26 3" xfId="25937" xr:uid="{00000000-0005-0000-0000-00009A660000}"/>
    <cellStyle name="Text Indent C 26 4" xfId="25938" xr:uid="{00000000-0005-0000-0000-00009B660000}"/>
    <cellStyle name="Text Indent C 26 5" xfId="25939" xr:uid="{00000000-0005-0000-0000-00009C660000}"/>
    <cellStyle name="Text Indent C 26 6" xfId="25940" xr:uid="{00000000-0005-0000-0000-00009D660000}"/>
    <cellStyle name="Text Indent C 26 7" xfId="25941" xr:uid="{00000000-0005-0000-0000-00009E660000}"/>
    <cellStyle name="Text Indent C 27" xfId="25942" xr:uid="{00000000-0005-0000-0000-00009F660000}"/>
    <cellStyle name="Text Indent C 27 2" xfId="25943" xr:uid="{00000000-0005-0000-0000-0000A0660000}"/>
    <cellStyle name="Text Indent C 27 3" xfId="25944" xr:uid="{00000000-0005-0000-0000-0000A1660000}"/>
    <cellStyle name="Text Indent C 27 4" xfId="25945" xr:uid="{00000000-0005-0000-0000-0000A2660000}"/>
    <cellStyle name="Text Indent C 27 5" xfId="25946" xr:uid="{00000000-0005-0000-0000-0000A3660000}"/>
    <cellStyle name="Text Indent C 27 6" xfId="25947" xr:uid="{00000000-0005-0000-0000-0000A4660000}"/>
    <cellStyle name="Text Indent C 27 7" xfId="25948" xr:uid="{00000000-0005-0000-0000-0000A5660000}"/>
    <cellStyle name="Text Indent C 28" xfId="25949" xr:uid="{00000000-0005-0000-0000-0000A6660000}"/>
    <cellStyle name="Text Indent C 28 2" xfId="25950" xr:uid="{00000000-0005-0000-0000-0000A7660000}"/>
    <cellStyle name="Text Indent C 28 3" xfId="25951" xr:uid="{00000000-0005-0000-0000-0000A8660000}"/>
    <cellStyle name="Text Indent C 28 4" xfId="25952" xr:uid="{00000000-0005-0000-0000-0000A9660000}"/>
    <cellStyle name="Text Indent C 28 5" xfId="25953" xr:uid="{00000000-0005-0000-0000-0000AA660000}"/>
    <cellStyle name="Text Indent C 28 6" xfId="25954" xr:uid="{00000000-0005-0000-0000-0000AB660000}"/>
    <cellStyle name="Text Indent C 28 7" xfId="25955" xr:uid="{00000000-0005-0000-0000-0000AC660000}"/>
    <cellStyle name="Text Indent C 29" xfId="25956" xr:uid="{00000000-0005-0000-0000-0000AD660000}"/>
    <cellStyle name="Text Indent C 3" xfId="25957" xr:uid="{00000000-0005-0000-0000-0000AE660000}"/>
    <cellStyle name="Text Indent C 30" xfId="25958" xr:uid="{00000000-0005-0000-0000-0000AF660000}"/>
    <cellStyle name="Text Indent C 31" xfId="25959" xr:uid="{00000000-0005-0000-0000-0000B0660000}"/>
    <cellStyle name="Text Indent C 32" xfId="25960" xr:uid="{00000000-0005-0000-0000-0000B1660000}"/>
    <cellStyle name="Text Indent C 33" xfId="25961" xr:uid="{00000000-0005-0000-0000-0000B2660000}"/>
    <cellStyle name="Text Indent C 34" xfId="25962" xr:uid="{00000000-0005-0000-0000-0000B3660000}"/>
    <cellStyle name="Text Indent C 35" xfId="25963" xr:uid="{00000000-0005-0000-0000-0000B4660000}"/>
    <cellStyle name="Text Indent C 36" xfId="25964" xr:uid="{00000000-0005-0000-0000-0000B5660000}"/>
    <cellStyle name="Text Indent C 37" xfId="25965" xr:uid="{00000000-0005-0000-0000-0000B6660000}"/>
    <cellStyle name="Text Indent C 38" xfId="25966" xr:uid="{00000000-0005-0000-0000-0000B7660000}"/>
    <cellStyle name="Text Indent C 39" xfId="25967" xr:uid="{00000000-0005-0000-0000-0000B8660000}"/>
    <cellStyle name="Text Indent C 4" xfId="25968" xr:uid="{00000000-0005-0000-0000-0000B9660000}"/>
    <cellStyle name="Text Indent C 40" xfId="25969" xr:uid="{00000000-0005-0000-0000-0000BA660000}"/>
    <cellStyle name="Text Indent C 41" xfId="25970" xr:uid="{00000000-0005-0000-0000-0000BB660000}"/>
    <cellStyle name="Text Indent C 42" xfId="25971" xr:uid="{00000000-0005-0000-0000-0000BC660000}"/>
    <cellStyle name="Text Indent C 43" xfId="25972" xr:uid="{00000000-0005-0000-0000-0000BD660000}"/>
    <cellStyle name="Text Indent C 44" xfId="25973" xr:uid="{00000000-0005-0000-0000-0000BE660000}"/>
    <cellStyle name="Text Indent C 45" xfId="25974" xr:uid="{00000000-0005-0000-0000-0000BF660000}"/>
    <cellStyle name="Text Indent C 46" xfId="25975" xr:uid="{00000000-0005-0000-0000-0000C0660000}"/>
    <cellStyle name="Text Indent C 47" xfId="25976" xr:uid="{00000000-0005-0000-0000-0000C1660000}"/>
    <cellStyle name="Text Indent C 48" xfId="25977" xr:uid="{00000000-0005-0000-0000-0000C2660000}"/>
    <cellStyle name="Text Indent C 49" xfId="25978" xr:uid="{00000000-0005-0000-0000-0000C3660000}"/>
    <cellStyle name="Text Indent C 5" xfId="25979" xr:uid="{00000000-0005-0000-0000-0000C4660000}"/>
    <cellStyle name="Text Indent C 50" xfId="25980" xr:uid="{00000000-0005-0000-0000-0000C5660000}"/>
    <cellStyle name="Text Indent C 51" xfId="25899" xr:uid="{00000000-0005-0000-0000-0000C6660000}"/>
    <cellStyle name="Text Indent C 6" xfId="25981" xr:uid="{00000000-0005-0000-0000-0000C7660000}"/>
    <cellStyle name="Text Indent C 7" xfId="25982" xr:uid="{00000000-0005-0000-0000-0000C8660000}"/>
    <cellStyle name="Text Indent C 8" xfId="25983" xr:uid="{00000000-0005-0000-0000-0000C9660000}"/>
    <cellStyle name="Text Indent C 9" xfId="25984" xr:uid="{00000000-0005-0000-0000-0000CA660000}"/>
    <cellStyle name="Text.............." xfId="25985" xr:uid="{00000000-0005-0000-0000-0000CB660000}"/>
    <cellStyle name="Texti 1" xfId="30279" xr:uid="{00000000-0005-0000-0000-0000CC660000}"/>
    <cellStyle name="Texti 3" xfId="30280" xr:uid="{00000000-0005-0000-0000-0000CD660000}"/>
    <cellStyle name="Texti 4" xfId="30281" xr:uid="{00000000-0005-0000-0000-0000CE660000}"/>
    <cellStyle name="Texti 8 miðja" xfId="30282" xr:uid="{00000000-0005-0000-0000-0000CF660000}"/>
    <cellStyle name="Texti Bold 1" xfId="30283" xr:uid="{00000000-0005-0000-0000-0000D0660000}"/>
    <cellStyle name="Tilbod" xfId="110" xr:uid="{00000000-0005-0000-0000-0000D1660000}"/>
    <cellStyle name="Tilbod 10" xfId="25987" xr:uid="{00000000-0005-0000-0000-0000D2660000}"/>
    <cellStyle name="Tilbod 11" xfId="25988" xr:uid="{00000000-0005-0000-0000-0000D3660000}"/>
    <cellStyle name="Tilbod 12" xfId="25989" xr:uid="{00000000-0005-0000-0000-0000D4660000}"/>
    <cellStyle name="Tilbod 13" xfId="25990" xr:uid="{00000000-0005-0000-0000-0000D5660000}"/>
    <cellStyle name="Tilbod 14" xfId="25991" xr:uid="{00000000-0005-0000-0000-0000D6660000}"/>
    <cellStyle name="Tilbod 15" xfId="25992" xr:uid="{00000000-0005-0000-0000-0000D7660000}"/>
    <cellStyle name="Tilbod 16" xfId="25993" xr:uid="{00000000-0005-0000-0000-0000D8660000}"/>
    <cellStyle name="Tilbod 17" xfId="25994" xr:uid="{00000000-0005-0000-0000-0000D9660000}"/>
    <cellStyle name="Tilbod 18" xfId="25995" xr:uid="{00000000-0005-0000-0000-0000DA660000}"/>
    <cellStyle name="Tilbod 19" xfId="25996" xr:uid="{00000000-0005-0000-0000-0000DB660000}"/>
    <cellStyle name="Tilbod 2" xfId="25997" xr:uid="{00000000-0005-0000-0000-0000DC660000}"/>
    <cellStyle name="Tilbod 20" xfId="25998" xr:uid="{00000000-0005-0000-0000-0000DD660000}"/>
    <cellStyle name="Tilbod 21" xfId="25999" xr:uid="{00000000-0005-0000-0000-0000DE660000}"/>
    <cellStyle name="Tilbod 22" xfId="26000" xr:uid="{00000000-0005-0000-0000-0000DF660000}"/>
    <cellStyle name="Tilbod 23" xfId="26001" xr:uid="{00000000-0005-0000-0000-0000E0660000}"/>
    <cellStyle name="Tilbod 24" xfId="26002" xr:uid="{00000000-0005-0000-0000-0000E1660000}"/>
    <cellStyle name="Tilbod 25" xfId="26003" xr:uid="{00000000-0005-0000-0000-0000E2660000}"/>
    <cellStyle name="Tilbod 26" xfId="26004" xr:uid="{00000000-0005-0000-0000-0000E3660000}"/>
    <cellStyle name="Tilbod 27" xfId="26005" xr:uid="{00000000-0005-0000-0000-0000E4660000}"/>
    <cellStyle name="Tilbod 28" xfId="26006" xr:uid="{00000000-0005-0000-0000-0000E5660000}"/>
    <cellStyle name="Tilbod 29" xfId="26007" xr:uid="{00000000-0005-0000-0000-0000E6660000}"/>
    <cellStyle name="Tilbod 3" xfId="26008" xr:uid="{00000000-0005-0000-0000-0000E7660000}"/>
    <cellStyle name="Tilbod 30" xfId="26009" xr:uid="{00000000-0005-0000-0000-0000E8660000}"/>
    <cellStyle name="Tilbod 31" xfId="26010" xr:uid="{00000000-0005-0000-0000-0000E9660000}"/>
    <cellStyle name="Tilbod 32" xfId="26011" xr:uid="{00000000-0005-0000-0000-0000EA660000}"/>
    <cellStyle name="Tilbod 33" xfId="26012" xr:uid="{00000000-0005-0000-0000-0000EB660000}"/>
    <cellStyle name="Tilbod 34" xfId="26013" xr:uid="{00000000-0005-0000-0000-0000EC660000}"/>
    <cellStyle name="Tilbod 35" xfId="26014" xr:uid="{00000000-0005-0000-0000-0000ED660000}"/>
    <cellStyle name="Tilbod 36" xfId="26015" xr:uid="{00000000-0005-0000-0000-0000EE660000}"/>
    <cellStyle name="Tilbod 37" xfId="26016" xr:uid="{00000000-0005-0000-0000-0000EF660000}"/>
    <cellStyle name="Tilbod 38" xfId="26017" xr:uid="{00000000-0005-0000-0000-0000F0660000}"/>
    <cellStyle name="Tilbod 39" xfId="26018" xr:uid="{00000000-0005-0000-0000-0000F1660000}"/>
    <cellStyle name="Tilbod 4" xfId="26019" xr:uid="{00000000-0005-0000-0000-0000F2660000}"/>
    <cellStyle name="Tilbod 40" xfId="25986" xr:uid="{00000000-0005-0000-0000-0000F3660000}"/>
    <cellStyle name="Tilbod 5" xfId="26020" xr:uid="{00000000-0005-0000-0000-0000F4660000}"/>
    <cellStyle name="Tilbod 6" xfId="26021" xr:uid="{00000000-0005-0000-0000-0000F5660000}"/>
    <cellStyle name="Tilbod 7" xfId="26022" xr:uid="{00000000-0005-0000-0000-0000F6660000}"/>
    <cellStyle name="Tilbod 8" xfId="26023" xr:uid="{00000000-0005-0000-0000-0000F7660000}"/>
    <cellStyle name="Tilbod 9" xfId="26024" xr:uid="{00000000-0005-0000-0000-0000F8660000}"/>
    <cellStyle name="Times rmn" xfId="39" xr:uid="{00000000-0005-0000-0000-0000F9660000}"/>
    <cellStyle name="Times rmn 2" xfId="26026" xr:uid="{00000000-0005-0000-0000-0000FA660000}"/>
    <cellStyle name="Times rmn 3" xfId="26025" xr:uid="{00000000-0005-0000-0000-0000FB660000}"/>
    <cellStyle name="Title" xfId="30284" builtinId="15" customBuiltin="1"/>
    <cellStyle name="Title 10" xfId="26027" xr:uid="{00000000-0005-0000-0000-0000FD660000}"/>
    <cellStyle name="Title 10 10" xfId="26028" xr:uid="{00000000-0005-0000-0000-0000FE660000}"/>
    <cellStyle name="Title 10 11" xfId="26029" xr:uid="{00000000-0005-0000-0000-0000FF660000}"/>
    <cellStyle name="Title 10 12" xfId="26030" xr:uid="{00000000-0005-0000-0000-000000670000}"/>
    <cellStyle name="Title 10 13" xfId="26031" xr:uid="{00000000-0005-0000-0000-000001670000}"/>
    <cellStyle name="Title 10 14" xfId="26032" xr:uid="{00000000-0005-0000-0000-000002670000}"/>
    <cellStyle name="Title 10 15" xfId="26033" xr:uid="{00000000-0005-0000-0000-000003670000}"/>
    <cellStyle name="Title 10 2" xfId="26034" xr:uid="{00000000-0005-0000-0000-000004670000}"/>
    <cellStyle name="Title 10 2 2" xfId="26035" xr:uid="{00000000-0005-0000-0000-000005670000}"/>
    <cellStyle name="Title 10 2 3" xfId="26036" xr:uid="{00000000-0005-0000-0000-000006670000}"/>
    <cellStyle name="Title 10 2 4" xfId="26037" xr:uid="{00000000-0005-0000-0000-000007670000}"/>
    <cellStyle name="Title 10 2 5" xfId="26038" xr:uid="{00000000-0005-0000-0000-000008670000}"/>
    <cellStyle name="Title 10 2 6" xfId="26039" xr:uid="{00000000-0005-0000-0000-000009670000}"/>
    <cellStyle name="Title 10 2 7" xfId="26040" xr:uid="{00000000-0005-0000-0000-00000A670000}"/>
    <cellStyle name="Title 10 3" xfId="26041" xr:uid="{00000000-0005-0000-0000-00000B670000}"/>
    <cellStyle name="Title 10 4" xfId="26042" xr:uid="{00000000-0005-0000-0000-00000C670000}"/>
    <cellStyle name="Title 10 5" xfId="26043" xr:uid="{00000000-0005-0000-0000-00000D670000}"/>
    <cellStyle name="Title 10 6" xfId="26044" xr:uid="{00000000-0005-0000-0000-00000E670000}"/>
    <cellStyle name="Title 10 7" xfId="26045" xr:uid="{00000000-0005-0000-0000-00000F670000}"/>
    <cellStyle name="Title 10 8" xfId="26046" xr:uid="{00000000-0005-0000-0000-000010670000}"/>
    <cellStyle name="Title 10 9" xfId="26047" xr:uid="{00000000-0005-0000-0000-000011670000}"/>
    <cellStyle name="Title 11" xfId="26048" xr:uid="{00000000-0005-0000-0000-000012670000}"/>
    <cellStyle name="Title 11 10" xfId="26049" xr:uid="{00000000-0005-0000-0000-000013670000}"/>
    <cellStyle name="Title 11 11" xfId="26050" xr:uid="{00000000-0005-0000-0000-000014670000}"/>
    <cellStyle name="Title 11 12" xfId="26051" xr:uid="{00000000-0005-0000-0000-000015670000}"/>
    <cellStyle name="Title 11 13" xfId="26052" xr:uid="{00000000-0005-0000-0000-000016670000}"/>
    <cellStyle name="Title 11 14" xfId="26053" xr:uid="{00000000-0005-0000-0000-000017670000}"/>
    <cellStyle name="Title 11 15" xfId="26054" xr:uid="{00000000-0005-0000-0000-000018670000}"/>
    <cellStyle name="Title 11 2" xfId="26055" xr:uid="{00000000-0005-0000-0000-000019670000}"/>
    <cellStyle name="Title 11 2 2" xfId="26056" xr:uid="{00000000-0005-0000-0000-00001A670000}"/>
    <cellStyle name="Title 11 2 3" xfId="26057" xr:uid="{00000000-0005-0000-0000-00001B670000}"/>
    <cellStyle name="Title 11 2 4" xfId="26058" xr:uid="{00000000-0005-0000-0000-00001C670000}"/>
    <cellStyle name="Title 11 2 5" xfId="26059" xr:uid="{00000000-0005-0000-0000-00001D670000}"/>
    <cellStyle name="Title 11 2 6" xfId="26060" xr:uid="{00000000-0005-0000-0000-00001E670000}"/>
    <cellStyle name="Title 11 2 7" xfId="26061" xr:uid="{00000000-0005-0000-0000-00001F670000}"/>
    <cellStyle name="Title 11 3" xfId="26062" xr:uid="{00000000-0005-0000-0000-000020670000}"/>
    <cellStyle name="Title 11 4" xfId="26063" xr:uid="{00000000-0005-0000-0000-000021670000}"/>
    <cellStyle name="Title 11 5" xfId="26064" xr:uid="{00000000-0005-0000-0000-000022670000}"/>
    <cellStyle name="Title 11 6" xfId="26065" xr:uid="{00000000-0005-0000-0000-000023670000}"/>
    <cellStyle name="Title 11 7" xfId="26066" xr:uid="{00000000-0005-0000-0000-000024670000}"/>
    <cellStyle name="Title 11 8" xfId="26067" xr:uid="{00000000-0005-0000-0000-000025670000}"/>
    <cellStyle name="Title 11 9" xfId="26068" xr:uid="{00000000-0005-0000-0000-000026670000}"/>
    <cellStyle name="Title 12" xfId="26069" xr:uid="{00000000-0005-0000-0000-000027670000}"/>
    <cellStyle name="Title 12 10" xfId="26070" xr:uid="{00000000-0005-0000-0000-000028670000}"/>
    <cellStyle name="Title 12 11" xfId="26071" xr:uid="{00000000-0005-0000-0000-000029670000}"/>
    <cellStyle name="Title 12 12" xfId="26072" xr:uid="{00000000-0005-0000-0000-00002A670000}"/>
    <cellStyle name="Title 12 13" xfId="26073" xr:uid="{00000000-0005-0000-0000-00002B670000}"/>
    <cellStyle name="Title 12 14" xfId="26074" xr:uid="{00000000-0005-0000-0000-00002C670000}"/>
    <cellStyle name="Title 12 15" xfId="26075" xr:uid="{00000000-0005-0000-0000-00002D670000}"/>
    <cellStyle name="Title 12 2" xfId="26076" xr:uid="{00000000-0005-0000-0000-00002E670000}"/>
    <cellStyle name="Title 12 2 2" xfId="26077" xr:uid="{00000000-0005-0000-0000-00002F670000}"/>
    <cellStyle name="Title 12 2 3" xfId="26078" xr:uid="{00000000-0005-0000-0000-000030670000}"/>
    <cellStyle name="Title 12 2 4" xfId="26079" xr:uid="{00000000-0005-0000-0000-000031670000}"/>
    <cellStyle name="Title 12 2 5" xfId="26080" xr:uid="{00000000-0005-0000-0000-000032670000}"/>
    <cellStyle name="Title 12 2 6" xfId="26081" xr:uid="{00000000-0005-0000-0000-000033670000}"/>
    <cellStyle name="Title 12 2 7" xfId="26082" xr:uid="{00000000-0005-0000-0000-000034670000}"/>
    <cellStyle name="Title 12 3" xfId="26083" xr:uid="{00000000-0005-0000-0000-000035670000}"/>
    <cellStyle name="Title 12 4" xfId="26084" xr:uid="{00000000-0005-0000-0000-000036670000}"/>
    <cellStyle name="Title 12 5" xfId="26085" xr:uid="{00000000-0005-0000-0000-000037670000}"/>
    <cellStyle name="Title 12 6" xfId="26086" xr:uid="{00000000-0005-0000-0000-000038670000}"/>
    <cellStyle name="Title 12 7" xfId="26087" xr:uid="{00000000-0005-0000-0000-000039670000}"/>
    <cellStyle name="Title 12 8" xfId="26088" xr:uid="{00000000-0005-0000-0000-00003A670000}"/>
    <cellStyle name="Title 12 9" xfId="26089" xr:uid="{00000000-0005-0000-0000-00003B670000}"/>
    <cellStyle name="Title 13" xfId="26090" xr:uid="{00000000-0005-0000-0000-00003C670000}"/>
    <cellStyle name="Title 13 10" xfId="26091" xr:uid="{00000000-0005-0000-0000-00003D670000}"/>
    <cellStyle name="Title 13 11" xfId="26092" xr:uid="{00000000-0005-0000-0000-00003E670000}"/>
    <cellStyle name="Title 13 12" xfId="26093" xr:uid="{00000000-0005-0000-0000-00003F670000}"/>
    <cellStyle name="Title 13 13" xfId="26094" xr:uid="{00000000-0005-0000-0000-000040670000}"/>
    <cellStyle name="Title 13 14" xfId="26095" xr:uid="{00000000-0005-0000-0000-000041670000}"/>
    <cellStyle name="Title 13 15" xfId="26096" xr:uid="{00000000-0005-0000-0000-000042670000}"/>
    <cellStyle name="Title 13 2" xfId="26097" xr:uid="{00000000-0005-0000-0000-000043670000}"/>
    <cellStyle name="Title 13 2 2" xfId="26098" xr:uid="{00000000-0005-0000-0000-000044670000}"/>
    <cellStyle name="Title 13 2 3" xfId="26099" xr:uid="{00000000-0005-0000-0000-000045670000}"/>
    <cellStyle name="Title 13 2 4" xfId="26100" xr:uid="{00000000-0005-0000-0000-000046670000}"/>
    <cellStyle name="Title 13 2 5" xfId="26101" xr:uid="{00000000-0005-0000-0000-000047670000}"/>
    <cellStyle name="Title 13 2 6" xfId="26102" xr:uid="{00000000-0005-0000-0000-000048670000}"/>
    <cellStyle name="Title 13 2 7" xfId="26103" xr:uid="{00000000-0005-0000-0000-000049670000}"/>
    <cellStyle name="Title 13 3" xfId="26104" xr:uid="{00000000-0005-0000-0000-00004A670000}"/>
    <cellStyle name="Title 13 4" xfId="26105" xr:uid="{00000000-0005-0000-0000-00004B670000}"/>
    <cellStyle name="Title 13 5" xfId="26106" xr:uid="{00000000-0005-0000-0000-00004C670000}"/>
    <cellStyle name="Title 13 6" xfId="26107" xr:uid="{00000000-0005-0000-0000-00004D670000}"/>
    <cellStyle name="Title 13 7" xfId="26108" xr:uid="{00000000-0005-0000-0000-00004E670000}"/>
    <cellStyle name="Title 13 8" xfId="26109" xr:uid="{00000000-0005-0000-0000-00004F670000}"/>
    <cellStyle name="Title 13 9" xfId="26110" xr:uid="{00000000-0005-0000-0000-000050670000}"/>
    <cellStyle name="Title 14" xfId="26111" xr:uid="{00000000-0005-0000-0000-000051670000}"/>
    <cellStyle name="Title 14 10" xfId="26112" xr:uid="{00000000-0005-0000-0000-000052670000}"/>
    <cellStyle name="Title 14 11" xfId="26113" xr:uid="{00000000-0005-0000-0000-000053670000}"/>
    <cellStyle name="Title 14 12" xfId="26114" xr:uid="{00000000-0005-0000-0000-000054670000}"/>
    <cellStyle name="Title 14 13" xfId="26115" xr:uid="{00000000-0005-0000-0000-000055670000}"/>
    <cellStyle name="Title 14 14" xfId="26116" xr:uid="{00000000-0005-0000-0000-000056670000}"/>
    <cellStyle name="Title 14 15" xfId="26117" xr:uid="{00000000-0005-0000-0000-000057670000}"/>
    <cellStyle name="Title 14 2" xfId="26118" xr:uid="{00000000-0005-0000-0000-000058670000}"/>
    <cellStyle name="Title 14 2 2" xfId="26119" xr:uid="{00000000-0005-0000-0000-000059670000}"/>
    <cellStyle name="Title 14 2 3" xfId="26120" xr:uid="{00000000-0005-0000-0000-00005A670000}"/>
    <cellStyle name="Title 14 2 4" xfId="26121" xr:uid="{00000000-0005-0000-0000-00005B670000}"/>
    <cellStyle name="Title 14 2 5" xfId="26122" xr:uid="{00000000-0005-0000-0000-00005C670000}"/>
    <cellStyle name="Title 14 2 6" xfId="26123" xr:uid="{00000000-0005-0000-0000-00005D670000}"/>
    <cellStyle name="Title 14 2 7" xfId="26124" xr:uid="{00000000-0005-0000-0000-00005E670000}"/>
    <cellStyle name="Title 14 3" xfId="26125" xr:uid="{00000000-0005-0000-0000-00005F670000}"/>
    <cellStyle name="Title 14 4" xfId="26126" xr:uid="{00000000-0005-0000-0000-000060670000}"/>
    <cellStyle name="Title 14 5" xfId="26127" xr:uid="{00000000-0005-0000-0000-000061670000}"/>
    <cellStyle name="Title 14 6" xfId="26128" xr:uid="{00000000-0005-0000-0000-000062670000}"/>
    <cellStyle name="Title 14 7" xfId="26129" xr:uid="{00000000-0005-0000-0000-000063670000}"/>
    <cellStyle name="Title 14 8" xfId="26130" xr:uid="{00000000-0005-0000-0000-000064670000}"/>
    <cellStyle name="Title 14 9" xfId="26131" xr:uid="{00000000-0005-0000-0000-000065670000}"/>
    <cellStyle name="Title 15" xfId="26132" xr:uid="{00000000-0005-0000-0000-000066670000}"/>
    <cellStyle name="Title 15 10" xfId="26133" xr:uid="{00000000-0005-0000-0000-000067670000}"/>
    <cellStyle name="Title 15 11" xfId="26134" xr:uid="{00000000-0005-0000-0000-000068670000}"/>
    <cellStyle name="Title 15 12" xfId="26135" xr:uid="{00000000-0005-0000-0000-000069670000}"/>
    <cellStyle name="Title 15 13" xfId="26136" xr:uid="{00000000-0005-0000-0000-00006A670000}"/>
    <cellStyle name="Title 15 14" xfId="26137" xr:uid="{00000000-0005-0000-0000-00006B670000}"/>
    <cellStyle name="Title 15 15" xfId="26138" xr:uid="{00000000-0005-0000-0000-00006C670000}"/>
    <cellStyle name="Title 15 2" xfId="26139" xr:uid="{00000000-0005-0000-0000-00006D670000}"/>
    <cellStyle name="Title 15 2 2" xfId="26140" xr:uid="{00000000-0005-0000-0000-00006E670000}"/>
    <cellStyle name="Title 15 2 3" xfId="26141" xr:uid="{00000000-0005-0000-0000-00006F670000}"/>
    <cellStyle name="Title 15 2 4" xfId="26142" xr:uid="{00000000-0005-0000-0000-000070670000}"/>
    <cellStyle name="Title 15 2 5" xfId="26143" xr:uid="{00000000-0005-0000-0000-000071670000}"/>
    <cellStyle name="Title 15 2 6" xfId="26144" xr:uid="{00000000-0005-0000-0000-000072670000}"/>
    <cellStyle name="Title 15 2 7" xfId="26145" xr:uid="{00000000-0005-0000-0000-000073670000}"/>
    <cellStyle name="Title 15 3" xfId="26146" xr:uid="{00000000-0005-0000-0000-000074670000}"/>
    <cellStyle name="Title 15 4" xfId="26147" xr:uid="{00000000-0005-0000-0000-000075670000}"/>
    <cellStyle name="Title 15 5" xfId="26148" xr:uid="{00000000-0005-0000-0000-000076670000}"/>
    <cellStyle name="Title 15 6" xfId="26149" xr:uid="{00000000-0005-0000-0000-000077670000}"/>
    <cellStyle name="Title 15 7" xfId="26150" xr:uid="{00000000-0005-0000-0000-000078670000}"/>
    <cellStyle name="Title 15 8" xfId="26151" xr:uid="{00000000-0005-0000-0000-000079670000}"/>
    <cellStyle name="Title 15 9" xfId="26152" xr:uid="{00000000-0005-0000-0000-00007A670000}"/>
    <cellStyle name="Title 16" xfId="26153" xr:uid="{00000000-0005-0000-0000-00007B670000}"/>
    <cellStyle name="Title 16 10" xfId="26154" xr:uid="{00000000-0005-0000-0000-00007C670000}"/>
    <cellStyle name="Title 16 11" xfId="26155" xr:uid="{00000000-0005-0000-0000-00007D670000}"/>
    <cellStyle name="Title 16 12" xfId="26156" xr:uid="{00000000-0005-0000-0000-00007E670000}"/>
    <cellStyle name="Title 16 13" xfId="26157" xr:uid="{00000000-0005-0000-0000-00007F670000}"/>
    <cellStyle name="Title 16 14" xfId="26158" xr:uid="{00000000-0005-0000-0000-000080670000}"/>
    <cellStyle name="Title 16 15" xfId="26159" xr:uid="{00000000-0005-0000-0000-000081670000}"/>
    <cellStyle name="Title 16 2" xfId="26160" xr:uid="{00000000-0005-0000-0000-000082670000}"/>
    <cellStyle name="Title 16 2 2" xfId="26161" xr:uid="{00000000-0005-0000-0000-000083670000}"/>
    <cellStyle name="Title 16 2 3" xfId="26162" xr:uid="{00000000-0005-0000-0000-000084670000}"/>
    <cellStyle name="Title 16 2 4" xfId="26163" xr:uid="{00000000-0005-0000-0000-000085670000}"/>
    <cellStyle name="Title 16 2 5" xfId="26164" xr:uid="{00000000-0005-0000-0000-000086670000}"/>
    <cellStyle name="Title 16 2 6" xfId="26165" xr:uid="{00000000-0005-0000-0000-000087670000}"/>
    <cellStyle name="Title 16 2 7" xfId="26166" xr:uid="{00000000-0005-0000-0000-000088670000}"/>
    <cellStyle name="Title 16 3" xfId="26167" xr:uid="{00000000-0005-0000-0000-000089670000}"/>
    <cellStyle name="Title 16 4" xfId="26168" xr:uid="{00000000-0005-0000-0000-00008A670000}"/>
    <cellStyle name="Title 16 5" xfId="26169" xr:uid="{00000000-0005-0000-0000-00008B670000}"/>
    <cellStyle name="Title 16 6" xfId="26170" xr:uid="{00000000-0005-0000-0000-00008C670000}"/>
    <cellStyle name="Title 16 7" xfId="26171" xr:uid="{00000000-0005-0000-0000-00008D670000}"/>
    <cellStyle name="Title 16 8" xfId="26172" xr:uid="{00000000-0005-0000-0000-00008E670000}"/>
    <cellStyle name="Title 16 9" xfId="26173" xr:uid="{00000000-0005-0000-0000-00008F670000}"/>
    <cellStyle name="Title 17" xfId="26174" xr:uid="{00000000-0005-0000-0000-000090670000}"/>
    <cellStyle name="Title 17 10" xfId="26175" xr:uid="{00000000-0005-0000-0000-000091670000}"/>
    <cellStyle name="Title 17 11" xfId="26176" xr:uid="{00000000-0005-0000-0000-000092670000}"/>
    <cellStyle name="Title 17 12" xfId="26177" xr:uid="{00000000-0005-0000-0000-000093670000}"/>
    <cellStyle name="Title 17 13" xfId="26178" xr:uid="{00000000-0005-0000-0000-000094670000}"/>
    <cellStyle name="Title 17 14" xfId="26179" xr:uid="{00000000-0005-0000-0000-000095670000}"/>
    <cellStyle name="Title 17 15" xfId="26180" xr:uid="{00000000-0005-0000-0000-000096670000}"/>
    <cellStyle name="Title 17 2" xfId="26181" xr:uid="{00000000-0005-0000-0000-000097670000}"/>
    <cellStyle name="Title 17 2 2" xfId="26182" xr:uid="{00000000-0005-0000-0000-000098670000}"/>
    <cellStyle name="Title 17 2 3" xfId="26183" xr:uid="{00000000-0005-0000-0000-000099670000}"/>
    <cellStyle name="Title 17 2 4" xfId="26184" xr:uid="{00000000-0005-0000-0000-00009A670000}"/>
    <cellStyle name="Title 17 2 5" xfId="26185" xr:uid="{00000000-0005-0000-0000-00009B670000}"/>
    <cellStyle name="Title 17 2 6" xfId="26186" xr:uid="{00000000-0005-0000-0000-00009C670000}"/>
    <cellStyle name="Title 17 2 7" xfId="26187" xr:uid="{00000000-0005-0000-0000-00009D670000}"/>
    <cellStyle name="Title 17 3" xfId="26188" xr:uid="{00000000-0005-0000-0000-00009E670000}"/>
    <cellStyle name="Title 17 4" xfId="26189" xr:uid="{00000000-0005-0000-0000-00009F670000}"/>
    <cellStyle name="Title 17 5" xfId="26190" xr:uid="{00000000-0005-0000-0000-0000A0670000}"/>
    <cellStyle name="Title 17 6" xfId="26191" xr:uid="{00000000-0005-0000-0000-0000A1670000}"/>
    <cellStyle name="Title 17 7" xfId="26192" xr:uid="{00000000-0005-0000-0000-0000A2670000}"/>
    <cellStyle name="Title 17 8" xfId="26193" xr:uid="{00000000-0005-0000-0000-0000A3670000}"/>
    <cellStyle name="Title 17 9" xfId="26194" xr:uid="{00000000-0005-0000-0000-0000A4670000}"/>
    <cellStyle name="Title 18" xfId="26195" xr:uid="{00000000-0005-0000-0000-0000A5670000}"/>
    <cellStyle name="Title 18 10" xfId="26196" xr:uid="{00000000-0005-0000-0000-0000A6670000}"/>
    <cellStyle name="Title 18 11" xfId="26197" xr:uid="{00000000-0005-0000-0000-0000A7670000}"/>
    <cellStyle name="Title 18 12" xfId="26198" xr:uid="{00000000-0005-0000-0000-0000A8670000}"/>
    <cellStyle name="Title 18 13" xfId="26199" xr:uid="{00000000-0005-0000-0000-0000A9670000}"/>
    <cellStyle name="Title 18 14" xfId="26200" xr:uid="{00000000-0005-0000-0000-0000AA670000}"/>
    <cellStyle name="Title 18 15" xfId="26201" xr:uid="{00000000-0005-0000-0000-0000AB670000}"/>
    <cellStyle name="Title 18 2" xfId="26202" xr:uid="{00000000-0005-0000-0000-0000AC670000}"/>
    <cellStyle name="Title 18 2 2" xfId="26203" xr:uid="{00000000-0005-0000-0000-0000AD670000}"/>
    <cellStyle name="Title 18 2 3" xfId="26204" xr:uid="{00000000-0005-0000-0000-0000AE670000}"/>
    <cellStyle name="Title 18 2 4" xfId="26205" xr:uid="{00000000-0005-0000-0000-0000AF670000}"/>
    <cellStyle name="Title 18 2 5" xfId="26206" xr:uid="{00000000-0005-0000-0000-0000B0670000}"/>
    <cellStyle name="Title 18 2 6" xfId="26207" xr:uid="{00000000-0005-0000-0000-0000B1670000}"/>
    <cellStyle name="Title 18 2 7" xfId="26208" xr:uid="{00000000-0005-0000-0000-0000B2670000}"/>
    <cellStyle name="Title 18 3" xfId="26209" xr:uid="{00000000-0005-0000-0000-0000B3670000}"/>
    <cellStyle name="Title 18 4" xfId="26210" xr:uid="{00000000-0005-0000-0000-0000B4670000}"/>
    <cellStyle name="Title 18 5" xfId="26211" xr:uid="{00000000-0005-0000-0000-0000B5670000}"/>
    <cellStyle name="Title 18 6" xfId="26212" xr:uid="{00000000-0005-0000-0000-0000B6670000}"/>
    <cellStyle name="Title 18 7" xfId="26213" xr:uid="{00000000-0005-0000-0000-0000B7670000}"/>
    <cellStyle name="Title 18 8" xfId="26214" xr:uid="{00000000-0005-0000-0000-0000B8670000}"/>
    <cellStyle name="Title 18 9" xfId="26215" xr:uid="{00000000-0005-0000-0000-0000B9670000}"/>
    <cellStyle name="Title 19" xfId="26216" xr:uid="{00000000-0005-0000-0000-0000BA670000}"/>
    <cellStyle name="Title 19 10" xfId="26217" xr:uid="{00000000-0005-0000-0000-0000BB670000}"/>
    <cellStyle name="Title 19 11" xfId="26218" xr:uid="{00000000-0005-0000-0000-0000BC670000}"/>
    <cellStyle name="Title 19 12" xfId="26219" xr:uid="{00000000-0005-0000-0000-0000BD670000}"/>
    <cellStyle name="Title 19 13" xfId="26220" xr:uid="{00000000-0005-0000-0000-0000BE670000}"/>
    <cellStyle name="Title 19 14" xfId="26221" xr:uid="{00000000-0005-0000-0000-0000BF670000}"/>
    <cellStyle name="Title 19 15" xfId="26222" xr:uid="{00000000-0005-0000-0000-0000C0670000}"/>
    <cellStyle name="Title 19 2" xfId="26223" xr:uid="{00000000-0005-0000-0000-0000C1670000}"/>
    <cellStyle name="Title 19 2 2" xfId="26224" xr:uid="{00000000-0005-0000-0000-0000C2670000}"/>
    <cellStyle name="Title 19 2 3" xfId="26225" xr:uid="{00000000-0005-0000-0000-0000C3670000}"/>
    <cellStyle name="Title 19 2 4" xfId="26226" xr:uid="{00000000-0005-0000-0000-0000C4670000}"/>
    <cellStyle name="Title 19 2 5" xfId="26227" xr:uid="{00000000-0005-0000-0000-0000C5670000}"/>
    <cellStyle name="Title 19 2 6" xfId="26228" xr:uid="{00000000-0005-0000-0000-0000C6670000}"/>
    <cellStyle name="Title 19 2 7" xfId="26229" xr:uid="{00000000-0005-0000-0000-0000C7670000}"/>
    <cellStyle name="Title 19 3" xfId="26230" xr:uid="{00000000-0005-0000-0000-0000C8670000}"/>
    <cellStyle name="Title 19 4" xfId="26231" xr:uid="{00000000-0005-0000-0000-0000C9670000}"/>
    <cellStyle name="Title 19 5" xfId="26232" xr:uid="{00000000-0005-0000-0000-0000CA670000}"/>
    <cellStyle name="Title 19 6" xfId="26233" xr:uid="{00000000-0005-0000-0000-0000CB670000}"/>
    <cellStyle name="Title 19 7" xfId="26234" xr:uid="{00000000-0005-0000-0000-0000CC670000}"/>
    <cellStyle name="Title 19 8" xfId="26235" xr:uid="{00000000-0005-0000-0000-0000CD670000}"/>
    <cellStyle name="Title 19 9" xfId="26236" xr:uid="{00000000-0005-0000-0000-0000CE670000}"/>
    <cellStyle name="Title 2" xfId="26237" xr:uid="{00000000-0005-0000-0000-0000CF670000}"/>
    <cellStyle name="Title 2 10" xfId="26238" xr:uid="{00000000-0005-0000-0000-0000D0670000}"/>
    <cellStyle name="Title 2 11" xfId="26239" xr:uid="{00000000-0005-0000-0000-0000D1670000}"/>
    <cellStyle name="Title 2 11 2" xfId="26240" xr:uid="{00000000-0005-0000-0000-0000D2670000}"/>
    <cellStyle name="Title 2 12" xfId="26241" xr:uid="{00000000-0005-0000-0000-0000D3670000}"/>
    <cellStyle name="Title 2 12 2" xfId="26242" xr:uid="{00000000-0005-0000-0000-0000D4670000}"/>
    <cellStyle name="Title 2 13" xfId="26243" xr:uid="{00000000-0005-0000-0000-0000D5670000}"/>
    <cellStyle name="Title 2 13 2" xfId="26244" xr:uid="{00000000-0005-0000-0000-0000D6670000}"/>
    <cellStyle name="Title 2 14" xfId="26245" xr:uid="{00000000-0005-0000-0000-0000D7670000}"/>
    <cellStyle name="Title 2 15" xfId="26246" xr:uid="{00000000-0005-0000-0000-0000D8670000}"/>
    <cellStyle name="Title 2 2" xfId="26247" xr:uid="{00000000-0005-0000-0000-0000D9670000}"/>
    <cellStyle name="Title 2 2 2" xfId="26248" xr:uid="{00000000-0005-0000-0000-0000DA670000}"/>
    <cellStyle name="Title 2 2 2 2" xfId="26249" xr:uid="{00000000-0005-0000-0000-0000DB670000}"/>
    <cellStyle name="Title 2 2 2 3" xfId="26250" xr:uid="{00000000-0005-0000-0000-0000DC670000}"/>
    <cellStyle name="Title 2 2 2 4" xfId="26251" xr:uid="{00000000-0005-0000-0000-0000DD670000}"/>
    <cellStyle name="Title 2 2 2 5" xfId="26252" xr:uid="{00000000-0005-0000-0000-0000DE670000}"/>
    <cellStyle name="Title 2 2 2 6" xfId="26253" xr:uid="{00000000-0005-0000-0000-0000DF670000}"/>
    <cellStyle name="Title 2 2 2 7" xfId="26254" xr:uid="{00000000-0005-0000-0000-0000E0670000}"/>
    <cellStyle name="Title 2 2 3" xfId="26255" xr:uid="{00000000-0005-0000-0000-0000E1670000}"/>
    <cellStyle name="Title 2 2 4" xfId="26256" xr:uid="{00000000-0005-0000-0000-0000E2670000}"/>
    <cellStyle name="Title 2 2 5" xfId="26257" xr:uid="{00000000-0005-0000-0000-0000E3670000}"/>
    <cellStyle name="Title 2 2 6" xfId="26258" xr:uid="{00000000-0005-0000-0000-0000E4670000}"/>
    <cellStyle name="Title 2 2 7" xfId="26259" xr:uid="{00000000-0005-0000-0000-0000E5670000}"/>
    <cellStyle name="Title 2 3" xfId="26260" xr:uid="{00000000-0005-0000-0000-0000E6670000}"/>
    <cellStyle name="Title 2 3 2" xfId="26261" xr:uid="{00000000-0005-0000-0000-0000E7670000}"/>
    <cellStyle name="Title 2 3 2 2" xfId="26262" xr:uid="{00000000-0005-0000-0000-0000E8670000}"/>
    <cellStyle name="Title 2 3 2 3" xfId="26263" xr:uid="{00000000-0005-0000-0000-0000E9670000}"/>
    <cellStyle name="Title 2 3 2 4" xfId="26264" xr:uid="{00000000-0005-0000-0000-0000EA670000}"/>
    <cellStyle name="Title 2 3 2 5" xfId="26265" xr:uid="{00000000-0005-0000-0000-0000EB670000}"/>
    <cellStyle name="Title 2 3 2 6" xfId="26266" xr:uid="{00000000-0005-0000-0000-0000EC670000}"/>
    <cellStyle name="Title 2 3 2 7" xfId="26267" xr:uid="{00000000-0005-0000-0000-0000ED670000}"/>
    <cellStyle name="Title 2 3 3" xfId="26268" xr:uid="{00000000-0005-0000-0000-0000EE670000}"/>
    <cellStyle name="Title 2 3 4" xfId="26269" xr:uid="{00000000-0005-0000-0000-0000EF670000}"/>
    <cellStyle name="Title 2 3 5" xfId="26270" xr:uid="{00000000-0005-0000-0000-0000F0670000}"/>
    <cellStyle name="Title 2 3 6" xfId="26271" xr:uid="{00000000-0005-0000-0000-0000F1670000}"/>
    <cellStyle name="Title 2 3 7" xfId="26272" xr:uid="{00000000-0005-0000-0000-0000F2670000}"/>
    <cellStyle name="Title 2 4" xfId="26273" xr:uid="{00000000-0005-0000-0000-0000F3670000}"/>
    <cellStyle name="Title 2 4 2" xfId="26274" xr:uid="{00000000-0005-0000-0000-0000F4670000}"/>
    <cellStyle name="Title 2 4 2 2" xfId="26275" xr:uid="{00000000-0005-0000-0000-0000F5670000}"/>
    <cellStyle name="Title 2 4 2 3" xfId="26276" xr:uid="{00000000-0005-0000-0000-0000F6670000}"/>
    <cellStyle name="Title 2 4 2 4" xfId="26277" xr:uid="{00000000-0005-0000-0000-0000F7670000}"/>
    <cellStyle name="Title 2 4 2 5" xfId="26278" xr:uid="{00000000-0005-0000-0000-0000F8670000}"/>
    <cellStyle name="Title 2 4 2 6" xfId="26279" xr:uid="{00000000-0005-0000-0000-0000F9670000}"/>
    <cellStyle name="Title 2 4 2 7" xfId="26280" xr:uid="{00000000-0005-0000-0000-0000FA670000}"/>
    <cellStyle name="Title 2 4 3" xfId="26281" xr:uid="{00000000-0005-0000-0000-0000FB670000}"/>
    <cellStyle name="Title 2 4 4" xfId="26282" xr:uid="{00000000-0005-0000-0000-0000FC670000}"/>
    <cellStyle name="Title 2 4 5" xfId="26283" xr:uid="{00000000-0005-0000-0000-0000FD670000}"/>
    <cellStyle name="Title 2 4 6" xfId="26284" xr:uid="{00000000-0005-0000-0000-0000FE670000}"/>
    <cellStyle name="Title 2 4 7" xfId="26285" xr:uid="{00000000-0005-0000-0000-0000FF670000}"/>
    <cellStyle name="Title 2 5" xfId="26286" xr:uid="{00000000-0005-0000-0000-000000680000}"/>
    <cellStyle name="Title 2 5 2" xfId="26287" xr:uid="{00000000-0005-0000-0000-000001680000}"/>
    <cellStyle name="Title 2 5 2 2" xfId="26288" xr:uid="{00000000-0005-0000-0000-000002680000}"/>
    <cellStyle name="Title 2 5 2 3" xfId="26289" xr:uid="{00000000-0005-0000-0000-000003680000}"/>
    <cellStyle name="Title 2 5 2 4" xfId="26290" xr:uid="{00000000-0005-0000-0000-000004680000}"/>
    <cellStyle name="Title 2 5 2 5" xfId="26291" xr:uid="{00000000-0005-0000-0000-000005680000}"/>
    <cellStyle name="Title 2 5 2 6" xfId="26292" xr:uid="{00000000-0005-0000-0000-000006680000}"/>
    <cellStyle name="Title 2 5 2 7" xfId="26293" xr:uid="{00000000-0005-0000-0000-000007680000}"/>
    <cellStyle name="Title 2 5 3" xfId="26294" xr:uid="{00000000-0005-0000-0000-000008680000}"/>
    <cellStyle name="Title 2 5 4" xfId="26295" xr:uid="{00000000-0005-0000-0000-000009680000}"/>
    <cellStyle name="Title 2 5 5" xfId="26296" xr:uid="{00000000-0005-0000-0000-00000A680000}"/>
    <cellStyle name="Title 2 5 6" xfId="26297" xr:uid="{00000000-0005-0000-0000-00000B680000}"/>
    <cellStyle name="Title 2 5 7" xfId="26298" xr:uid="{00000000-0005-0000-0000-00000C680000}"/>
    <cellStyle name="Title 2 6" xfId="26299" xr:uid="{00000000-0005-0000-0000-00000D680000}"/>
    <cellStyle name="Title 2 6 2" xfId="26300" xr:uid="{00000000-0005-0000-0000-00000E680000}"/>
    <cellStyle name="Title 2 6 2 2" xfId="26301" xr:uid="{00000000-0005-0000-0000-00000F680000}"/>
    <cellStyle name="Title 2 6 2 3" xfId="26302" xr:uid="{00000000-0005-0000-0000-000010680000}"/>
    <cellStyle name="Title 2 6 2 4" xfId="26303" xr:uid="{00000000-0005-0000-0000-000011680000}"/>
    <cellStyle name="Title 2 6 2 5" xfId="26304" xr:uid="{00000000-0005-0000-0000-000012680000}"/>
    <cellStyle name="Title 2 6 2 6" xfId="26305" xr:uid="{00000000-0005-0000-0000-000013680000}"/>
    <cellStyle name="Title 2 6 2 7" xfId="26306" xr:uid="{00000000-0005-0000-0000-000014680000}"/>
    <cellStyle name="Title 2 6 3" xfId="26307" xr:uid="{00000000-0005-0000-0000-000015680000}"/>
    <cellStyle name="Title 2 6 4" xfId="26308" xr:uid="{00000000-0005-0000-0000-000016680000}"/>
    <cellStyle name="Title 2 6 5" xfId="26309" xr:uid="{00000000-0005-0000-0000-000017680000}"/>
    <cellStyle name="Title 2 6 6" xfId="26310" xr:uid="{00000000-0005-0000-0000-000018680000}"/>
    <cellStyle name="Title 2 6 7" xfId="26311" xr:uid="{00000000-0005-0000-0000-000019680000}"/>
    <cellStyle name="Title 2 7" xfId="26312" xr:uid="{00000000-0005-0000-0000-00001A680000}"/>
    <cellStyle name="Title 2 7 2" xfId="26313" xr:uid="{00000000-0005-0000-0000-00001B680000}"/>
    <cellStyle name="Title 2 7 2 2" xfId="26314" xr:uid="{00000000-0005-0000-0000-00001C680000}"/>
    <cellStyle name="Title 2 7 2 3" xfId="26315" xr:uid="{00000000-0005-0000-0000-00001D680000}"/>
    <cellStyle name="Title 2 7 2 4" xfId="26316" xr:uid="{00000000-0005-0000-0000-00001E680000}"/>
    <cellStyle name="Title 2 7 2 5" xfId="26317" xr:uid="{00000000-0005-0000-0000-00001F680000}"/>
    <cellStyle name="Title 2 7 2 6" xfId="26318" xr:uid="{00000000-0005-0000-0000-000020680000}"/>
    <cellStyle name="Title 2 7 2 7" xfId="26319" xr:uid="{00000000-0005-0000-0000-000021680000}"/>
    <cellStyle name="Title 2 7 3" xfId="26320" xr:uid="{00000000-0005-0000-0000-000022680000}"/>
    <cellStyle name="Title 2 7 4" xfId="26321" xr:uid="{00000000-0005-0000-0000-000023680000}"/>
    <cellStyle name="Title 2 7 5" xfId="26322" xr:uid="{00000000-0005-0000-0000-000024680000}"/>
    <cellStyle name="Title 2 7 6" xfId="26323" xr:uid="{00000000-0005-0000-0000-000025680000}"/>
    <cellStyle name="Title 2 7 7" xfId="26324" xr:uid="{00000000-0005-0000-0000-000026680000}"/>
    <cellStyle name="Title 2 8" xfId="26325" xr:uid="{00000000-0005-0000-0000-000027680000}"/>
    <cellStyle name="Title 2 8 2" xfId="26326" xr:uid="{00000000-0005-0000-0000-000028680000}"/>
    <cellStyle name="Title 2 8 2 2" xfId="26327" xr:uid="{00000000-0005-0000-0000-000029680000}"/>
    <cellStyle name="Title 2 8 2 3" xfId="26328" xr:uid="{00000000-0005-0000-0000-00002A680000}"/>
    <cellStyle name="Title 2 8 2 4" xfId="26329" xr:uid="{00000000-0005-0000-0000-00002B680000}"/>
    <cellStyle name="Title 2 8 2 5" xfId="26330" xr:uid="{00000000-0005-0000-0000-00002C680000}"/>
    <cellStyle name="Title 2 8 2 6" xfId="26331" xr:uid="{00000000-0005-0000-0000-00002D680000}"/>
    <cellStyle name="Title 2 8 2 7" xfId="26332" xr:uid="{00000000-0005-0000-0000-00002E680000}"/>
    <cellStyle name="Title 2 8 3" xfId="26333" xr:uid="{00000000-0005-0000-0000-00002F680000}"/>
    <cellStyle name="Title 2 8 4" xfId="26334" xr:uid="{00000000-0005-0000-0000-000030680000}"/>
    <cellStyle name="Title 2 8 5" xfId="26335" xr:uid="{00000000-0005-0000-0000-000031680000}"/>
    <cellStyle name="Title 2 8 6" xfId="26336" xr:uid="{00000000-0005-0000-0000-000032680000}"/>
    <cellStyle name="Title 2 8 7" xfId="26337" xr:uid="{00000000-0005-0000-0000-000033680000}"/>
    <cellStyle name="Title 2 9" xfId="26338" xr:uid="{00000000-0005-0000-0000-000034680000}"/>
    <cellStyle name="Title 2 9 2" xfId="26339" xr:uid="{00000000-0005-0000-0000-000035680000}"/>
    <cellStyle name="Title 2 9 3" xfId="26340" xr:uid="{00000000-0005-0000-0000-000036680000}"/>
    <cellStyle name="Title 2 9 4" xfId="26341" xr:uid="{00000000-0005-0000-0000-000037680000}"/>
    <cellStyle name="Title 2 9 5" xfId="26342" xr:uid="{00000000-0005-0000-0000-000038680000}"/>
    <cellStyle name="Title 2 9 6" xfId="26343" xr:uid="{00000000-0005-0000-0000-000039680000}"/>
    <cellStyle name="Title 2 9 7" xfId="26344" xr:uid="{00000000-0005-0000-0000-00003A680000}"/>
    <cellStyle name="Title 2 9 8" xfId="26345" xr:uid="{00000000-0005-0000-0000-00003B680000}"/>
    <cellStyle name="Title 20" xfId="26346" xr:uid="{00000000-0005-0000-0000-00003C680000}"/>
    <cellStyle name="Title 20 10" xfId="26347" xr:uid="{00000000-0005-0000-0000-00003D680000}"/>
    <cellStyle name="Title 20 11" xfId="26348" xr:uid="{00000000-0005-0000-0000-00003E680000}"/>
    <cellStyle name="Title 20 12" xfId="26349" xr:uid="{00000000-0005-0000-0000-00003F680000}"/>
    <cellStyle name="Title 20 13" xfId="26350" xr:uid="{00000000-0005-0000-0000-000040680000}"/>
    <cellStyle name="Title 20 14" xfId="26351" xr:uid="{00000000-0005-0000-0000-000041680000}"/>
    <cellStyle name="Title 20 15" xfId="26352" xr:uid="{00000000-0005-0000-0000-000042680000}"/>
    <cellStyle name="Title 20 2" xfId="26353" xr:uid="{00000000-0005-0000-0000-000043680000}"/>
    <cellStyle name="Title 20 2 2" xfId="26354" xr:uid="{00000000-0005-0000-0000-000044680000}"/>
    <cellStyle name="Title 20 2 3" xfId="26355" xr:uid="{00000000-0005-0000-0000-000045680000}"/>
    <cellStyle name="Title 20 2 4" xfId="26356" xr:uid="{00000000-0005-0000-0000-000046680000}"/>
    <cellStyle name="Title 20 2 5" xfId="26357" xr:uid="{00000000-0005-0000-0000-000047680000}"/>
    <cellStyle name="Title 20 2 6" xfId="26358" xr:uid="{00000000-0005-0000-0000-000048680000}"/>
    <cellStyle name="Title 20 2 7" xfId="26359" xr:uid="{00000000-0005-0000-0000-000049680000}"/>
    <cellStyle name="Title 20 3" xfId="26360" xr:uid="{00000000-0005-0000-0000-00004A680000}"/>
    <cellStyle name="Title 20 4" xfId="26361" xr:uid="{00000000-0005-0000-0000-00004B680000}"/>
    <cellStyle name="Title 20 5" xfId="26362" xr:uid="{00000000-0005-0000-0000-00004C680000}"/>
    <cellStyle name="Title 20 6" xfId="26363" xr:uid="{00000000-0005-0000-0000-00004D680000}"/>
    <cellStyle name="Title 20 7" xfId="26364" xr:uid="{00000000-0005-0000-0000-00004E680000}"/>
    <cellStyle name="Title 20 8" xfId="26365" xr:uid="{00000000-0005-0000-0000-00004F680000}"/>
    <cellStyle name="Title 20 9" xfId="26366" xr:uid="{00000000-0005-0000-0000-000050680000}"/>
    <cellStyle name="Title 21" xfId="26367" xr:uid="{00000000-0005-0000-0000-000051680000}"/>
    <cellStyle name="Title 21 10" xfId="26368" xr:uid="{00000000-0005-0000-0000-000052680000}"/>
    <cellStyle name="Title 21 11" xfId="26369" xr:uid="{00000000-0005-0000-0000-000053680000}"/>
    <cellStyle name="Title 21 12" xfId="26370" xr:uid="{00000000-0005-0000-0000-000054680000}"/>
    <cellStyle name="Title 21 13" xfId="26371" xr:uid="{00000000-0005-0000-0000-000055680000}"/>
    <cellStyle name="Title 21 14" xfId="26372" xr:uid="{00000000-0005-0000-0000-000056680000}"/>
    <cellStyle name="Title 21 15" xfId="26373" xr:uid="{00000000-0005-0000-0000-000057680000}"/>
    <cellStyle name="Title 21 2" xfId="26374" xr:uid="{00000000-0005-0000-0000-000058680000}"/>
    <cellStyle name="Title 21 2 2" xfId="26375" xr:uid="{00000000-0005-0000-0000-000059680000}"/>
    <cellStyle name="Title 21 2 3" xfId="26376" xr:uid="{00000000-0005-0000-0000-00005A680000}"/>
    <cellStyle name="Title 21 2 4" xfId="26377" xr:uid="{00000000-0005-0000-0000-00005B680000}"/>
    <cellStyle name="Title 21 2 5" xfId="26378" xr:uid="{00000000-0005-0000-0000-00005C680000}"/>
    <cellStyle name="Title 21 2 6" xfId="26379" xr:uid="{00000000-0005-0000-0000-00005D680000}"/>
    <cellStyle name="Title 21 2 7" xfId="26380" xr:uid="{00000000-0005-0000-0000-00005E680000}"/>
    <cellStyle name="Title 21 3" xfId="26381" xr:uid="{00000000-0005-0000-0000-00005F680000}"/>
    <cellStyle name="Title 21 4" xfId="26382" xr:uid="{00000000-0005-0000-0000-000060680000}"/>
    <cellStyle name="Title 21 5" xfId="26383" xr:uid="{00000000-0005-0000-0000-000061680000}"/>
    <cellStyle name="Title 21 6" xfId="26384" xr:uid="{00000000-0005-0000-0000-000062680000}"/>
    <cellStyle name="Title 21 7" xfId="26385" xr:uid="{00000000-0005-0000-0000-000063680000}"/>
    <cellStyle name="Title 21 8" xfId="26386" xr:uid="{00000000-0005-0000-0000-000064680000}"/>
    <cellStyle name="Title 21 9" xfId="26387" xr:uid="{00000000-0005-0000-0000-000065680000}"/>
    <cellStyle name="Title 22" xfId="26388" xr:uid="{00000000-0005-0000-0000-000066680000}"/>
    <cellStyle name="Title 22 10" xfId="26389" xr:uid="{00000000-0005-0000-0000-000067680000}"/>
    <cellStyle name="Title 22 11" xfId="26390" xr:uid="{00000000-0005-0000-0000-000068680000}"/>
    <cellStyle name="Title 22 12" xfId="26391" xr:uid="{00000000-0005-0000-0000-000069680000}"/>
    <cellStyle name="Title 22 13" xfId="26392" xr:uid="{00000000-0005-0000-0000-00006A680000}"/>
    <cellStyle name="Title 22 14" xfId="26393" xr:uid="{00000000-0005-0000-0000-00006B680000}"/>
    <cellStyle name="Title 22 15" xfId="26394" xr:uid="{00000000-0005-0000-0000-00006C680000}"/>
    <cellStyle name="Title 22 2" xfId="26395" xr:uid="{00000000-0005-0000-0000-00006D680000}"/>
    <cellStyle name="Title 22 2 2" xfId="26396" xr:uid="{00000000-0005-0000-0000-00006E680000}"/>
    <cellStyle name="Title 22 2 3" xfId="26397" xr:uid="{00000000-0005-0000-0000-00006F680000}"/>
    <cellStyle name="Title 22 2 4" xfId="26398" xr:uid="{00000000-0005-0000-0000-000070680000}"/>
    <cellStyle name="Title 22 2 5" xfId="26399" xr:uid="{00000000-0005-0000-0000-000071680000}"/>
    <cellStyle name="Title 22 2 6" xfId="26400" xr:uid="{00000000-0005-0000-0000-000072680000}"/>
    <cellStyle name="Title 22 2 7" xfId="26401" xr:uid="{00000000-0005-0000-0000-000073680000}"/>
    <cellStyle name="Title 22 3" xfId="26402" xr:uid="{00000000-0005-0000-0000-000074680000}"/>
    <cellStyle name="Title 22 4" xfId="26403" xr:uid="{00000000-0005-0000-0000-000075680000}"/>
    <cellStyle name="Title 22 5" xfId="26404" xr:uid="{00000000-0005-0000-0000-000076680000}"/>
    <cellStyle name="Title 22 6" xfId="26405" xr:uid="{00000000-0005-0000-0000-000077680000}"/>
    <cellStyle name="Title 22 7" xfId="26406" xr:uid="{00000000-0005-0000-0000-000078680000}"/>
    <cellStyle name="Title 22 8" xfId="26407" xr:uid="{00000000-0005-0000-0000-000079680000}"/>
    <cellStyle name="Title 22 9" xfId="26408" xr:uid="{00000000-0005-0000-0000-00007A680000}"/>
    <cellStyle name="Title 23" xfId="26409" xr:uid="{00000000-0005-0000-0000-00007B680000}"/>
    <cellStyle name="Title 23 10" xfId="26410" xr:uid="{00000000-0005-0000-0000-00007C680000}"/>
    <cellStyle name="Title 23 11" xfId="26411" xr:uid="{00000000-0005-0000-0000-00007D680000}"/>
    <cellStyle name="Title 23 12" xfId="26412" xr:uid="{00000000-0005-0000-0000-00007E680000}"/>
    <cellStyle name="Title 23 13" xfId="26413" xr:uid="{00000000-0005-0000-0000-00007F680000}"/>
    <cellStyle name="Title 23 14" xfId="26414" xr:uid="{00000000-0005-0000-0000-000080680000}"/>
    <cellStyle name="Title 23 15" xfId="26415" xr:uid="{00000000-0005-0000-0000-000081680000}"/>
    <cellStyle name="Title 23 2" xfId="26416" xr:uid="{00000000-0005-0000-0000-000082680000}"/>
    <cellStyle name="Title 23 2 2" xfId="26417" xr:uid="{00000000-0005-0000-0000-000083680000}"/>
    <cellStyle name="Title 23 2 3" xfId="26418" xr:uid="{00000000-0005-0000-0000-000084680000}"/>
    <cellStyle name="Title 23 2 4" xfId="26419" xr:uid="{00000000-0005-0000-0000-000085680000}"/>
    <cellStyle name="Title 23 2 5" xfId="26420" xr:uid="{00000000-0005-0000-0000-000086680000}"/>
    <cellStyle name="Title 23 2 6" xfId="26421" xr:uid="{00000000-0005-0000-0000-000087680000}"/>
    <cellStyle name="Title 23 2 7" xfId="26422" xr:uid="{00000000-0005-0000-0000-000088680000}"/>
    <cellStyle name="Title 23 3" xfId="26423" xr:uid="{00000000-0005-0000-0000-000089680000}"/>
    <cellStyle name="Title 23 4" xfId="26424" xr:uid="{00000000-0005-0000-0000-00008A680000}"/>
    <cellStyle name="Title 23 5" xfId="26425" xr:uid="{00000000-0005-0000-0000-00008B680000}"/>
    <cellStyle name="Title 23 6" xfId="26426" xr:uid="{00000000-0005-0000-0000-00008C680000}"/>
    <cellStyle name="Title 23 7" xfId="26427" xr:uid="{00000000-0005-0000-0000-00008D680000}"/>
    <cellStyle name="Title 23 8" xfId="26428" xr:uid="{00000000-0005-0000-0000-00008E680000}"/>
    <cellStyle name="Title 23 9" xfId="26429" xr:uid="{00000000-0005-0000-0000-00008F680000}"/>
    <cellStyle name="Title 24" xfId="26430" xr:uid="{00000000-0005-0000-0000-000090680000}"/>
    <cellStyle name="Title 24 2" xfId="26431" xr:uid="{00000000-0005-0000-0000-000091680000}"/>
    <cellStyle name="Title 24 3" xfId="26432" xr:uid="{00000000-0005-0000-0000-000092680000}"/>
    <cellStyle name="Title 24 4" xfId="26433" xr:uid="{00000000-0005-0000-0000-000093680000}"/>
    <cellStyle name="Title 24 5" xfId="26434" xr:uid="{00000000-0005-0000-0000-000094680000}"/>
    <cellStyle name="Title 24 6" xfId="26435" xr:uid="{00000000-0005-0000-0000-000095680000}"/>
    <cellStyle name="Title 24 7" xfId="26436" xr:uid="{00000000-0005-0000-0000-000096680000}"/>
    <cellStyle name="Title 24 8" xfId="26437" xr:uid="{00000000-0005-0000-0000-000097680000}"/>
    <cellStyle name="Title 24 9" xfId="26438" xr:uid="{00000000-0005-0000-0000-000098680000}"/>
    <cellStyle name="Title 25" xfId="26439" xr:uid="{00000000-0005-0000-0000-000099680000}"/>
    <cellStyle name="Title 25 2" xfId="26440" xr:uid="{00000000-0005-0000-0000-00009A680000}"/>
    <cellStyle name="Title 25 3" xfId="26441" xr:uid="{00000000-0005-0000-0000-00009B680000}"/>
    <cellStyle name="Title 25 4" xfId="26442" xr:uid="{00000000-0005-0000-0000-00009C680000}"/>
    <cellStyle name="Title 25 5" xfId="26443" xr:uid="{00000000-0005-0000-0000-00009D680000}"/>
    <cellStyle name="Title 25 6" xfId="26444" xr:uid="{00000000-0005-0000-0000-00009E680000}"/>
    <cellStyle name="Title 25 7" xfId="26445" xr:uid="{00000000-0005-0000-0000-00009F680000}"/>
    <cellStyle name="Title 25 8" xfId="26446" xr:uid="{00000000-0005-0000-0000-0000A0680000}"/>
    <cellStyle name="Title 25 9" xfId="26447" xr:uid="{00000000-0005-0000-0000-0000A1680000}"/>
    <cellStyle name="Title 26" xfId="26448" xr:uid="{00000000-0005-0000-0000-0000A2680000}"/>
    <cellStyle name="Title 26 2" xfId="26449" xr:uid="{00000000-0005-0000-0000-0000A3680000}"/>
    <cellStyle name="Title 26 3" xfId="26450" xr:uid="{00000000-0005-0000-0000-0000A4680000}"/>
    <cellStyle name="Title 26 4" xfId="26451" xr:uid="{00000000-0005-0000-0000-0000A5680000}"/>
    <cellStyle name="Title 26 5" xfId="26452" xr:uid="{00000000-0005-0000-0000-0000A6680000}"/>
    <cellStyle name="Title 26 6" xfId="26453" xr:uid="{00000000-0005-0000-0000-0000A7680000}"/>
    <cellStyle name="Title 26 7" xfId="26454" xr:uid="{00000000-0005-0000-0000-0000A8680000}"/>
    <cellStyle name="Title 26 8" xfId="26455" xr:uid="{00000000-0005-0000-0000-0000A9680000}"/>
    <cellStyle name="Title 26 9" xfId="26456" xr:uid="{00000000-0005-0000-0000-0000AA680000}"/>
    <cellStyle name="Title 27" xfId="26457" xr:uid="{00000000-0005-0000-0000-0000AB680000}"/>
    <cellStyle name="Title 27 2" xfId="26458" xr:uid="{00000000-0005-0000-0000-0000AC680000}"/>
    <cellStyle name="Title 27 3" xfId="26459" xr:uid="{00000000-0005-0000-0000-0000AD680000}"/>
    <cellStyle name="Title 27 4" xfId="26460" xr:uid="{00000000-0005-0000-0000-0000AE680000}"/>
    <cellStyle name="Title 27 5" xfId="26461" xr:uid="{00000000-0005-0000-0000-0000AF680000}"/>
    <cellStyle name="Title 27 6" xfId="26462" xr:uid="{00000000-0005-0000-0000-0000B0680000}"/>
    <cellStyle name="Title 27 7" xfId="26463" xr:uid="{00000000-0005-0000-0000-0000B1680000}"/>
    <cellStyle name="Title 27 8" xfId="26464" xr:uid="{00000000-0005-0000-0000-0000B2680000}"/>
    <cellStyle name="Title 27 9" xfId="26465" xr:uid="{00000000-0005-0000-0000-0000B3680000}"/>
    <cellStyle name="Title 28" xfId="26466" xr:uid="{00000000-0005-0000-0000-0000B4680000}"/>
    <cellStyle name="Title 28 2" xfId="26467" xr:uid="{00000000-0005-0000-0000-0000B5680000}"/>
    <cellStyle name="Title 28 3" xfId="26468" xr:uid="{00000000-0005-0000-0000-0000B6680000}"/>
    <cellStyle name="Title 28 4" xfId="26469" xr:uid="{00000000-0005-0000-0000-0000B7680000}"/>
    <cellStyle name="Title 28 5" xfId="26470" xr:uid="{00000000-0005-0000-0000-0000B8680000}"/>
    <cellStyle name="Title 28 6" xfId="26471" xr:uid="{00000000-0005-0000-0000-0000B9680000}"/>
    <cellStyle name="Title 28 7" xfId="26472" xr:uid="{00000000-0005-0000-0000-0000BA680000}"/>
    <cellStyle name="Title 28 8" xfId="26473" xr:uid="{00000000-0005-0000-0000-0000BB680000}"/>
    <cellStyle name="Title 28 9" xfId="26474" xr:uid="{00000000-0005-0000-0000-0000BC680000}"/>
    <cellStyle name="Title 29" xfId="26475" xr:uid="{00000000-0005-0000-0000-0000BD680000}"/>
    <cellStyle name="Title 29 2" xfId="26476" xr:uid="{00000000-0005-0000-0000-0000BE680000}"/>
    <cellStyle name="Title 29 3" xfId="26477" xr:uid="{00000000-0005-0000-0000-0000BF680000}"/>
    <cellStyle name="Title 29 4" xfId="26478" xr:uid="{00000000-0005-0000-0000-0000C0680000}"/>
    <cellStyle name="Title 29 5" xfId="26479" xr:uid="{00000000-0005-0000-0000-0000C1680000}"/>
    <cellStyle name="Title 29 6" xfId="26480" xr:uid="{00000000-0005-0000-0000-0000C2680000}"/>
    <cellStyle name="Title 29 7" xfId="26481" xr:uid="{00000000-0005-0000-0000-0000C3680000}"/>
    <cellStyle name="Title 29 8" xfId="26482" xr:uid="{00000000-0005-0000-0000-0000C4680000}"/>
    <cellStyle name="Title 29 9" xfId="26483" xr:uid="{00000000-0005-0000-0000-0000C5680000}"/>
    <cellStyle name="Title 3" xfId="26484" xr:uid="{00000000-0005-0000-0000-0000C6680000}"/>
    <cellStyle name="Title 3 10" xfId="26485" xr:uid="{00000000-0005-0000-0000-0000C7680000}"/>
    <cellStyle name="Title 3 11" xfId="26486" xr:uid="{00000000-0005-0000-0000-0000C8680000}"/>
    <cellStyle name="Title 3 12" xfId="26487" xr:uid="{00000000-0005-0000-0000-0000C9680000}"/>
    <cellStyle name="Title 3 13" xfId="26488" xr:uid="{00000000-0005-0000-0000-0000CA680000}"/>
    <cellStyle name="Title 3 14" xfId="26489" xr:uid="{00000000-0005-0000-0000-0000CB680000}"/>
    <cellStyle name="Title 3 15" xfId="26490" xr:uid="{00000000-0005-0000-0000-0000CC680000}"/>
    <cellStyle name="Title 3 16" xfId="26491" xr:uid="{00000000-0005-0000-0000-0000CD680000}"/>
    <cellStyle name="Title 3 2" xfId="26492" xr:uid="{00000000-0005-0000-0000-0000CE680000}"/>
    <cellStyle name="Title 3 2 2" xfId="26493" xr:uid="{00000000-0005-0000-0000-0000CF680000}"/>
    <cellStyle name="Title 3 2 2 2" xfId="26494" xr:uid="{00000000-0005-0000-0000-0000D0680000}"/>
    <cellStyle name="Title 3 2 2 3" xfId="26495" xr:uid="{00000000-0005-0000-0000-0000D1680000}"/>
    <cellStyle name="Title 3 2 2 4" xfId="26496" xr:uid="{00000000-0005-0000-0000-0000D2680000}"/>
    <cellStyle name="Title 3 2 2 5" xfId="26497" xr:uid="{00000000-0005-0000-0000-0000D3680000}"/>
    <cellStyle name="Title 3 2 2 6" xfId="26498" xr:uid="{00000000-0005-0000-0000-0000D4680000}"/>
    <cellStyle name="Title 3 2 2 7" xfId="26499" xr:uid="{00000000-0005-0000-0000-0000D5680000}"/>
    <cellStyle name="Title 3 2 3" xfId="26500" xr:uid="{00000000-0005-0000-0000-0000D6680000}"/>
    <cellStyle name="Title 3 2 4" xfId="26501" xr:uid="{00000000-0005-0000-0000-0000D7680000}"/>
    <cellStyle name="Title 3 2 5" xfId="26502" xr:uid="{00000000-0005-0000-0000-0000D8680000}"/>
    <cellStyle name="Title 3 2 6" xfId="26503" xr:uid="{00000000-0005-0000-0000-0000D9680000}"/>
    <cellStyle name="Title 3 2 7" xfId="26504" xr:uid="{00000000-0005-0000-0000-0000DA680000}"/>
    <cellStyle name="Title 3 3" xfId="26505" xr:uid="{00000000-0005-0000-0000-0000DB680000}"/>
    <cellStyle name="Title 3 3 2" xfId="26506" xr:uid="{00000000-0005-0000-0000-0000DC680000}"/>
    <cellStyle name="Title 3 3 2 2" xfId="26507" xr:uid="{00000000-0005-0000-0000-0000DD680000}"/>
    <cellStyle name="Title 3 3 2 3" xfId="26508" xr:uid="{00000000-0005-0000-0000-0000DE680000}"/>
    <cellStyle name="Title 3 3 2 4" xfId="26509" xr:uid="{00000000-0005-0000-0000-0000DF680000}"/>
    <cellStyle name="Title 3 3 2 5" xfId="26510" xr:uid="{00000000-0005-0000-0000-0000E0680000}"/>
    <cellStyle name="Title 3 3 2 6" xfId="26511" xr:uid="{00000000-0005-0000-0000-0000E1680000}"/>
    <cellStyle name="Title 3 3 2 7" xfId="26512" xr:uid="{00000000-0005-0000-0000-0000E2680000}"/>
    <cellStyle name="Title 3 3 3" xfId="26513" xr:uid="{00000000-0005-0000-0000-0000E3680000}"/>
    <cellStyle name="Title 3 3 4" xfId="26514" xr:uid="{00000000-0005-0000-0000-0000E4680000}"/>
    <cellStyle name="Title 3 3 5" xfId="26515" xr:uid="{00000000-0005-0000-0000-0000E5680000}"/>
    <cellStyle name="Title 3 3 6" xfId="26516" xr:uid="{00000000-0005-0000-0000-0000E6680000}"/>
    <cellStyle name="Title 3 3 7" xfId="26517" xr:uid="{00000000-0005-0000-0000-0000E7680000}"/>
    <cellStyle name="Title 3 4" xfId="26518" xr:uid="{00000000-0005-0000-0000-0000E8680000}"/>
    <cellStyle name="Title 3 4 2" xfId="26519" xr:uid="{00000000-0005-0000-0000-0000E9680000}"/>
    <cellStyle name="Title 3 4 2 2" xfId="26520" xr:uid="{00000000-0005-0000-0000-0000EA680000}"/>
    <cellStyle name="Title 3 4 2 3" xfId="26521" xr:uid="{00000000-0005-0000-0000-0000EB680000}"/>
    <cellStyle name="Title 3 4 2 4" xfId="26522" xr:uid="{00000000-0005-0000-0000-0000EC680000}"/>
    <cellStyle name="Title 3 4 2 5" xfId="26523" xr:uid="{00000000-0005-0000-0000-0000ED680000}"/>
    <cellStyle name="Title 3 4 2 6" xfId="26524" xr:uid="{00000000-0005-0000-0000-0000EE680000}"/>
    <cellStyle name="Title 3 4 2 7" xfId="26525" xr:uid="{00000000-0005-0000-0000-0000EF680000}"/>
    <cellStyle name="Title 3 4 3" xfId="26526" xr:uid="{00000000-0005-0000-0000-0000F0680000}"/>
    <cellStyle name="Title 3 4 4" xfId="26527" xr:uid="{00000000-0005-0000-0000-0000F1680000}"/>
    <cellStyle name="Title 3 4 5" xfId="26528" xr:uid="{00000000-0005-0000-0000-0000F2680000}"/>
    <cellStyle name="Title 3 4 6" xfId="26529" xr:uid="{00000000-0005-0000-0000-0000F3680000}"/>
    <cellStyle name="Title 3 4 7" xfId="26530" xr:uid="{00000000-0005-0000-0000-0000F4680000}"/>
    <cellStyle name="Title 3 5" xfId="26531" xr:uid="{00000000-0005-0000-0000-0000F5680000}"/>
    <cellStyle name="Title 3 5 2" xfId="26532" xr:uid="{00000000-0005-0000-0000-0000F6680000}"/>
    <cellStyle name="Title 3 5 2 2" xfId="26533" xr:uid="{00000000-0005-0000-0000-0000F7680000}"/>
    <cellStyle name="Title 3 5 2 3" xfId="26534" xr:uid="{00000000-0005-0000-0000-0000F8680000}"/>
    <cellStyle name="Title 3 5 2 4" xfId="26535" xr:uid="{00000000-0005-0000-0000-0000F9680000}"/>
    <cellStyle name="Title 3 5 2 5" xfId="26536" xr:uid="{00000000-0005-0000-0000-0000FA680000}"/>
    <cellStyle name="Title 3 5 2 6" xfId="26537" xr:uid="{00000000-0005-0000-0000-0000FB680000}"/>
    <cellStyle name="Title 3 5 2 7" xfId="26538" xr:uid="{00000000-0005-0000-0000-0000FC680000}"/>
    <cellStyle name="Title 3 5 3" xfId="26539" xr:uid="{00000000-0005-0000-0000-0000FD680000}"/>
    <cellStyle name="Title 3 5 4" xfId="26540" xr:uid="{00000000-0005-0000-0000-0000FE680000}"/>
    <cellStyle name="Title 3 5 5" xfId="26541" xr:uid="{00000000-0005-0000-0000-0000FF680000}"/>
    <cellStyle name="Title 3 5 6" xfId="26542" xr:uid="{00000000-0005-0000-0000-000000690000}"/>
    <cellStyle name="Title 3 5 7" xfId="26543" xr:uid="{00000000-0005-0000-0000-000001690000}"/>
    <cellStyle name="Title 3 6" xfId="26544" xr:uid="{00000000-0005-0000-0000-000002690000}"/>
    <cellStyle name="Title 3 6 2" xfId="26545" xr:uid="{00000000-0005-0000-0000-000003690000}"/>
    <cellStyle name="Title 3 6 2 2" xfId="26546" xr:uid="{00000000-0005-0000-0000-000004690000}"/>
    <cellStyle name="Title 3 6 2 3" xfId="26547" xr:uid="{00000000-0005-0000-0000-000005690000}"/>
    <cellStyle name="Title 3 6 2 4" xfId="26548" xr:uid="{00000000-0005-0000-0000-000006690000}"/>
    <cellStyle name="Title 3 6 2 5" xfId="26549" xr:uid="{00000000-0005-0000-0000-000007690000}"/>
    <cellStyle name="Title 3 6 2 6" xfId="26550" xr:uid="{00000000-0005-0000-0000-000008690000}"/>
    <cellStyle name="Title 3 6 2 7" xfId="26551" xr:uid="{00000000-0005-0000-0000-000009690000}"/>
    <cellStyle name="Title 3 6 3" xfId="26552" xr:uid="{00000000-0005-0000-0000-00000A690000}"/>
    <cellStyle name="Title 3 6 4" xfId="26553" xr:uid="{00000000-0005-0000-0000-00000B690000}"/>
    <cellStyle name="Title 3 6 5" xfId="26554" xr:uid="{00000000-0005-0000-0000-00000C690000}"/>
    <cellStyle name="Title 3 6 6" xfId="26555" xr:uid="{00000000-0005-0000-0000-00000D690000}"/>
    <cellStyle name="Title 3 6 7" xfId="26556" xr:uid="{00000000-0005-0000-0000-00000E690000}"/>
    <cellStyle name="Title 3 7" xfId="26557" xr:uid="{00000000-0005-0000-0000-00000F690000}"/>
    <cellStyle name="Title 3 7 2" xfId="26558" xr:uid="{00000000-0005-0000-0000-000010690000}"/>
    <cellStyle name="Title 3 7 2 2" xfId="26559" xr:uid="{00000000-0005-0000-0000-000011690000}"/>
    <cellStyle name="Title 3 7 2 3" xfId="26560" xr:uid="{00000000-0005-0000-0000-000012690000}"/>
    <cellStyle name="Title 3 7 2 4" xfId="26561" xr:uid="{00000000-0005-0000-0000-000013690000}"/>
    <cellStyle name="Title 3 7 2 5" xfId="26562" xr:uid="{00000000-0005-0000-0000-000014690000}"/>
    <cellStyle name="Title 3 7 2 6" xfId="26563" xr:uid="{00000000-0005-0000-0000-000015690000}"/>
    <cellStyle name="Title 3 7 2 7" xfId="26564" xr:uid="{00000000-0005-0000-0000-000016690000}"/>
    <cellStyle name="Title 3 7 3" xfId="26565" xr:uid="{00000000-0005-0000-0000-000017690000}"/>
    <cellStyle name="Title 3 7 4" xfId="26566" xr:uid="{00000000-0005-0000-0000-000018690000}"/>
    <cellStyle name="Title 3 7 5" xfId="26567" xr:uid="{00000000-0005-0000-0000-000019690000}"/>
    <cellStyle name="Title 3 7 6" xfId="26568" xr:uid="{00000000-0005-0000-0000-00001A690000}"/>
    <cellStyle name="Title 3 7 7" xfId="26569" xr:uid="{00000000-0005-0000-0000-00001B690000}"/>
    <cellStyle name="Title 3 8" xfId="26570" xr:uid="{00000000-0005-0000-0000-00001C690000}"/>
    <cellStyle name="Title 3 8 2" xfId="26571" xr:uid="{00000000-0005-0000-0000-00001D690000}"/>
    <cellStyle name="Title 3 8 2 2" xfId="26572" xr:uid="{00000000-0005-0000-0000-00001E690000}"/>
    <cellStyle name="Title 3 8 2 3" xfId="26573" xr:uid="{00000000-0005-0000-0000-00001F690000}"/>
    <cellStyle name="Title 3 8 2 4" xfId="26574" xr:uid="{00000000-0005-0000-0000-000020690000}"/>
    <cellStyle name="Title 3 8 2 5" xfId="26575" xr:uid="{00000000-0005-0000-0000-000021690000}"/>
    <cellStyle name="Title 3 8 2 6" xfId="26576" xr:uid="{00000000-0005-0000-0000-000022690000}"/>
    <cellStyle name="Title 3 8 2 7" xfId="26577" xr:uid="{00000000-0005-0000-0000-000023690000}"/>
    <cellStyle name="Title 3 8 3" xfId="26578" xr:uid="{00000000-0005-0000-0000-000024690000}"/>
    <cellStyle name="Title 3 8 4" xfId="26579" xr:uid="{00000000-0005-0000-0000-000025690000}"/>
    <cellStyle name="Title 3 8 5" xfId="26580" xr:uid="{00000000-0005-0000-0000-000026690000}"/>
    <cellStyle name="Title 3 8 6" xfId="26581" xr:uid="{00000000-0005-0000-0000-000027690000}"/>
    <cellStyle name="Title 3 8 7" xfId="26582" xr:uid="{00000000-0005-0000-0000-000028690000}"/>
    <cellStyle name="Title 3 9" xfId="26583" xr:uid="{00000000-0005-0000-0000-000029690000}"/>
    <cellStyle name="Title 3 9 2" xfId="26584" xr:uid="{00000000-0005-0000-0000-00002A690000}"/>
    <cellStyle name="Title 3 9 3" xfId="26585" xr:uid="{00000000-0005-0000-0000-00002B690000}"/>
    <cellStyle name="Title 3 9 4" xfId="26586" xr:uid="{00000000-0005-0000-0000-00002C690000}"/>
    <cellStyle name="Title 3 9 5" xfId="26587" xr:uid="{00000000-0005-0000-0000-00002D690000}"/>
    <cellStyle name="Title 3 9 6" xfId="26588" xr:uid="{00000000-0005-0000-0000-00002E690000}"/>
    <cellStyle name="Title 3 9 7" xfId="26589" xr:uid="{00000000-0005-0000-0000-00002F690000}"/>
    <cellStyle name="Title 30" xfId="26590" xr:uid="{00000000-0005-0000-0000-000030690000}"/>
    <cellStyle name="Title 30 2" xfId="26591" xr:uid="{00000000-0005-0000-0000-000031690000}"/>
    <cellStyle name="Title 30 3" xfId="26592" xr:uid="{00000000-0005-0000-0000-000032690000}"/>
    <cellStyle name="Title 30 4" xfId="26593" xr:uid="{00000000-0005-0000-0000-000033690000}"/>
    <cellStyle name="Title 30 5" xfId="26594" xr:uid="{00000000-0005-0000-0000-000034690000}"/>
    <cellStyle name="Title 30 6" xfId="26595" xr:uid="{00000000-0005-0000-0000-000035690000}"/>
    <cellStyle name="Title 30 7" xfId="26596" xr:uid="{00000000-0005-0000-0000-000036690000}"/>
    <cellStyle name="Title 30 8" xfId="26597" xr:uid="{00000000-0005-0000-0000-000037690000}"/>
    <cellStyle name="Title 30 9" xfId="26598" xr:uid="{00000000-0005-0000-0000-000038690000}"/>
    <cellStyle name="Title 31" xfId="26599" xr:uid="{00000000-0005-0000-0000-000039690000}"/>
    <cellStyle name="Title 31 2" xfId="26600" xr:uid="{00000000-0005-0000-0000-00003A690000}"/>
    <cellStyle name="Title 31 3" xfId="26601" xr:uid="{00000000-0005-0000-0000-00003B690000}"/>
    <cellStyle name="Title 31 4" xfId="26602" xr:uid="{00000000-0005-0000-0000-00003C690000}"/>
    <cellStyle name="Title 31 5" xfId="26603" xr:uid="{00000000-0005-0000-0000-00003D690000}"/>
    <cellStyle name="Title 31 6" xfId="26604" xr:uid="{00000000-0005-0000-0000-00003E690000}"/>
    <cellStyle name="Title 31 7" xfId="26605" xr:uid="{00000000-0005-0000-0000-00003F690000}"/>
    <cellStyle name="Title 31 8" xfId="26606" xr:uid="{00000000-0005-0000-0000-000040690000}"/>
    <cellStyle name="Title 31 9" xfId="26607" xr:uid="{00000000-0005-0000-0000-000041690000}"/>
    <cellStyle name="Title 32" xfId="26608" xr:uid="{00000000-0005-0000-0000-000042690000}"/>
    <cellStyle name="Title 32 2" xfId="26609" xr:uid="{00000000-0005-0000-0000-000043690000}"/>
    <cellStyle name="Title 32 3" xfId="26610" xr:uid="{00000000-0005-0000-0000-000044690000}"/>
    <cellStyle name="Title 32 4" xfId="26611" xr:uid="{00000000-0005-0000-0000-000045690000}"/>
    <cellStyle name="Title 32 5" xfId="26612" xr:uid="{00000000-0005-0000-0000-000046690000}"/>
    <cellStyle name="Title 32 6" xfId="26613" xr:uid="{00000000-0005-0000-0000-000047690000}"/>
    <cellStyle name="Title 32 7" xfId="26614" xr:uid="{00000000-0005-0000-0000-000048690000}"/>
    <cellStyle name="Title 32 8" xfId="26615" xr:uid="{00000000-0005-0000-0000-000049690000}"/>
    <cellStyle name="Title 32 9" xfId="26616" xr:uid="{00000000-0005-0000-0000-00004A690000}"/>
    <cellStyle name="Title 33" xfId="26617" xr:uid="{00000000-0005-0000-0000-00004B690000}"/>
    <cellStyle name="Title 33 2" xfId="26618" xr:uid="{00000000-0005-0000-0000-00004C690000}"/>
    <cellStyle name="Title 33 3" xfId="26619" xr:uid="{00000000-0005-0000-0000-00004D690000}"/>
    <cellStyle name="Title 33 4" xfId="26620" xr:uid="{00000000-0005-0000-0000-00004E690000}"/>
    <cellStyle name="Title 33 5" xfId="26621" xr:uid="{00000000-0005-0000-0000-00004F690000}"/>
    <cellStyle name="Title 33 6" xfId="26622" xr:uid="{00000000-0005-0000-0000-000050690000}"/>
    <cellStyle name="Title 33 7" xfId="26623" xr:uid="{00000000-0005-0000-0000-000051690000}"/>
    <cellStyle name="Title 33 8" xfId="26624" xr:uid="{00000000-0005-0000-0000-000052690000}"/>
    <cellStyle name="Title 33 9" xfId="26625" xr:uid="{00000000-0005-0000-0000-000053690000}"/>
    <cellStyle name="Title 34" xfId="26626" xr:uid="{00000000-0005-0000-0000-000054690000}"/>
    <cellStyle name="Title 34 2" xfId="26627" xr:uid="{00000000-0005-0000-0000-000055690000}"/>
    <cellStyle name="Title 34 3" xfId="26628" xr:uid="{00000000-0005-0000-0000-000056690000}"/>
    <cellStyle name="Title 34 4" xfId="26629" xr:uid="{00000000-0005-0000-0000-000057690000}"/>
    <cellStyle name="Title 34 5" xfId="26630" xr:uid="{00000000-0005-0000-0000-000058690000}"/>
    <cellStyle name="Title 34 6" xfId="26631" xr:uid="{00000000-0005-0000-0000-000059690000}"/>
    <cellStyle name="Title 34 7" xfId="26632" xr:uid="{00000000-0005-0000-0000-00005A690000}"/>
    <cellStyle name="Title 34 8" xfId="26633" xr:uid="{00000000-0005-0000-0000-00005B690000}"/>
    <cellStyle name="Title 34 9" xfId="26634" xr:uid="{00000000-0005-0000-0000-00005C690000}"/>
    <cellStyle name="Title 35" xfId="26635" xr:uid="{00000000-0005-0000-0000-00005D690000}"/>
    <cellStyle name="Title 35 2" xfId="26636" xr:uid="{00000000-0005-0000-0000-00005E690000}"/>
    <cellStyle name="Title 35 3" xfId="26637" xr:uid="{00000000-0005-0000-0000-00005F690000}"/>
    <cellStyle name="Title 35 4" xfId="26638" xr:uid="{00000000-0005-0000-0000-000060690000}"/>
    <cellStyle name="Title 35 5" xfId="26639" xr:uid="{00000000-0005-0000-0000-000061690000}"/>
    <cellStyle name="Title 35 6" xfId="26640" xr:uid="{00000000-0005-0000-0000-000062690000}"/>
    <cellStyle name="Title 35 7" xfId="26641" xr:uid="{00000000-0005-0000-0000-000063690000}"/>
    <cellStyle name="Title 35 8" xfId="26642" xr:uid="{00000000-0005-0000-0000-000064690000}"/>
    <cellStyle name="Title 35 9" xfId="26643" xr:uid="{00000000-0005-0000-0000-000065690000}"/>
    <cellStyle name="Title 36" xfId="26644" xr:uid="{00000000-0005-0000-0000-000066690000}"/>
    <cellStyle name="Title 36 2" xfId="26645" xr:uid="{00000000-0005-0000-0000-000067690000}"/>
    <cellStyle name="Title 36 3" xfId="26646" xr:uid="{00000000-0005-0000-0000-000068690000}"/>
    <cellStyle name="Title 36 4" xfId="26647" xr:uid="{00000000-0005-0000-0000-000069690000}"/>
    <cellStyle name="Title 36 5" xfId="26648" xr:uid="{00000000-0005-0000-0000-00006A690000}"/>
    <cellStyle name="Title 36 6" xfId="26649" xr:uid="{00000000-0005-0000-0000-00006B690000}"/>
    <cellStyle name="Title 36 7" xfId="26650" xr:uid="{00000000-0005-0000-0000-00006C690000}"/>
    <cellStyle name="Title 36 8" xfId="26651" xr:uid="{00000000-0005-0000-0000-00006D690000}"/>
    <cellStyle name="Title 36 9" xfId="26652" xr:uid="{00000000-0005-0000-0000-00006E690000}"/>
    <cellStyle name="Title 37" xfId="26653" xr:uid="{00000000-0005-0000-0000-00006F690000}"/>
    <cellStyle name="Title 37 2" xfId="26654" xr:uid="{00000000-0005-0000-0000-000070690000}"/>
    <cellStyle name="Title 37 3" xfId="26655" xr:uid="{00000000-0005-0000-0000-000071690000}"/>
    <cellStyle name="Title 37 4" xfId="26656" xr:uid="{00000000-0005-0000-0000-000072690000}"/>
    <cellStyle name="Title 37 5" xfId="26657" xr:uid="{00000000-0005-0000-0000-000073690000}"/>
    <cellStyle name="Title 37 6" xfId="26658" xr:uid="{00000000-0005-0000-0000-000074690000}"/>
    <cellStyle name="Title 37 7" xfId="26659" xr:uid="{00000000-0005-0000-0000-000075690000}"/>
    <cellStyle name="Title 37 8" xfId="26660" xr:uid="{00000000-0005-0000-0000-000076690000}"/>
    <cellStyle name="Title 37 9" xfId="26661" xr:uid="{00000000-0005-0000-0000-000077690000}"/>
    <cellStyle name="Title 38" xfId="26662" xr:uid="{00000000-0005-0000-0000-000078690000}"/>
    <cellStyle name="Title 38 2" xfId="26663" xr:uid="{00000000-0005-0000-0000-000079690000}"/>
    <cellStyle name="Title 38 3" xfId="26664" xr:uid="{00000000-0005-0000-0000-00007A690000}"/>
    <cellStyle name="Title 38 4" xfId="26665" xr:uid="{00000000-0005-0000-0000-00007B690000}"/>
    <cellStyle name="Title 38 5" xfId="26666" xr:uid="{00000000-0005-0000-0000-00007C690000}"/>
    <cellStyle name="Title 38 6" xfId="26667" xr:uid="{00000000-0005-0000-0000-00007D690000}"/>
    <cellStyle name="Title 38 7" xfId="26668" xr:uid="{00000000-0005-0000-0000-00007E690000}"/>
    <cellStyle name="Title 38 8" xfId="26669" xr:uid="{00000000-0005-0000-0000-00007F690000}"/>
    <cellStyle name="Title 38 9" xfId="26670" xr:uid="{00000000-0005-0000-0000-000080690000}"/>
    <cellStyle name="Title 39" xfId="26671" xr:uid="{00000000-0005-0000-0000-000081690000}"/>
    <cellStyle name="Title 39 2" xfId="26672" xr:uid="{00000000-0005-0000-0000-000082690000}"/>
    <cellStyle name="Title 39 3" xfId="26673" xr:uid="{00000000-0005-0000-0000-000083690000}"/>
    <cellStyle name="Title 39 4" xfId="26674" xr:uid="{00000000-0005-0000-0000-000084690000}"/>
    <cellStyle name="Title 39 5" xfId="26675" xr:uid="{00000000-0005-0000-0000-000085690000}"/>
    <cellStyle name="Title 39 6" xfId="26676" xr:uid="{00000000-0005-0000-0000-000086690000}"/>
    <cellStyle name="Title 39 7" xfId="26677" xr:uid="{00000000-0005-0000-0000-000087690000}"/>
    <cellStyle name="Title 39 8" xfId="26678" xr:uid="{00000000-0005-0000-0000-000088690000}"/>
    <cellStyle name="Title 39 9" xfId="26679" xr:uid="{00000000-0005-0000-0000-000089690000}"/>
    <cellStyle name="Title 4" xfId="26680" xr:uid="{00000000-0005-0000-0000-00008A690000}"/>
    <cellStyle name="Title 4 10" xfId="26681" xr:uid="{00000000-0005-0000-0000-00008B690000}"/>
    <cellStyle name="Title 4 11" xfId="26682" xr:uid="{00000000-0005-0000-0000-00008C690000}"/>
    <cellStyle name="Title 4 12" xfId="26683" xr:uid="{00000000-0005-0000-0000-00008D690000}"/>
    <cellStyle name="Title 4 13" xfId="26684" xr:uid="{00000000-0005-0000-0000-00008E690000}"/>
    <cellStyle name="Title 4 14" xfId="26685" xr:uid="{00000000-0005-0000-0000-00008F690000}"/>
    <cellStyle name="Title 4 15" xfId="26686" xr:uid="{00000000-0005-0000-0000-000090690000}"/>
    <cellStyle name="Title 4 2" xfId="26687" xr:uid="{00000000-0005-0000-0000-000091690000}"/>
    <cellStyle name="Title 4 2 2" xfId="26688" xr:uid="{00000000-0005-0000-0000-000092690000}"/>
    <cellStyle name="Title 4 2 2 2" xfId="26689" xr:uid="{00000000-0005-0000-0000-000093690000}"/>
    <cellStyle name="Title 4 2 2 3" xfId="26690" xr:uid="{00000000-0005-0000-0000-000094690000}"/>
    <cellStyle name="Title 4 2 2 4" xfId="26691" xr:uid="{00000000-0005-0000-0000-000095690000}"/>
    <cellStyle name="Title 4 2 2 5" xfId="26692" xr:uid="{00000000-0005-0000-0000-000096690000}"/>
    <cellStyle name="Title 4 2 2 6" xfId="26693" xr:uid="{00000000-0005-0000-0000-000097690000}"/>
    <cellStyle name="Title 4 2 2 7" xfId="26694" xr:uid="{00000000-0005-0000-0000-000098690000}"/>
    <cellStyle name="Title 4 2 3" xfId="26695" xr:uid="{00000000-0005-0000-0000-000099690000}"/>
    <cellStyle name="Title 4 2 4" xfId="26696" xr:uid="{00000000-0005-0000-0000-00009A690000}"/>
    <cellStyle name="Title 4 2 5" xfId="26697" xr:uid="{00000000-0005-0000-0000-00009B690000}"/>
    <cellStyle name="Title 4 2 6" xfId="26698" xr:uid="{00000000-0005-0000-0000-00009C690000}"/>
    <cellStyle name="Title 4 2 7" xfId="26699" xr:uid="{00000000-0005-0000-0000-00009D690000}"/>
    <cellStyle name="Title 4 3" xfId="26700" xr:uid="{00000000-0005-0000-0000-00009E690000}"/>
    <cellStyle name="Title 4 3 2" xfId="26701" xr:uid="{00000000-0005-0000-0000-00009F690000}"/>
    <cellStyle name="Title 4 3 2 2" xfId="26702" xr:uid="{00000000-0005-0000-0000-0000A0690000}"/>
    <cellStyle name="Title 4 3 2 3" xfId="26703" xr:uid="{00000000-0005-0000-0000-0000A1690000}"/>
    <cellStyle name="Title 4 3 2 4" xfId="26704" xr:uid="{00000000-0005-0000-0000-0000A2690000}"/>
    <cellStyle name="Title 4 3 2 5" xfId="26705" xr:uid="{00000000-0005-0000-0000-0000A3690000}"/>
    <cellStyle name="Title 4 3 2 6" xfId="26706" xr:uid="{00000000-0005-0000-0000-0000A4690000}"/>
    <cellStyle name="Title 4 3 2 7" xfId="26707" xr:uid="{00000000-0005-0000-0000-0000A5690000}"/>
    <cellStyle name="Title 4 3 3" xfId="26708" xr:uid="{00000000-0005-0000-0000-0000A6690000}"/>
    <cellStyle name="Title 4 3 4" xfId="26709" xr:uid="{00000000-0005-0000-0000-0000A7690000}"/>
    <cellStyle name="Title 4 3 5" xfId="26710" xr:uid="{00000000-0005-0000-0000-0000A8690000}"/>
    <cellStyle name="Title 4 3 6" xfId="26711" xr:uid="{00000000-0005-0000-0000-0000A9690000}"/>
    <cellStyle name="Title 4 3 7" xfId="26712" xr:uid="{00000000-0005-0000-0000-0000AA690000}"/>
    <cellStyle name="Title 4 4" xfId="26713" xr:uid="{00000000-0005-0000-0000-0000AB690000}"/>
    <cellStyle name="Title 4 4 2" xfId="26714" xr:uid="{00000000-0005-0000-0000-0000AC690000}"/>
    <cellStyle name="Title 4 4 2 2" xfId="26715" xr:uid="{00000000-0005-0000-0000-0000AD690000}"/>
    <cellStyle name="Title 4 4 2 3" xfId="26716" xr:uid="{00000000-0005-0000-0000-0000AE690000}"/>
    <cellStyle name="Title 4 4 2 4" xfId="26717" xr:uid="{00000000-0005-0000-0000-0000AF690000}"/>
    <cellStyle name="Title 4 4 2 5" xfId="26718" xr:uid="{00000000-0005-0000-0000-0000B0690000}"/>
    <cellStyle name="Title 4 4 2 6" xfId="26719" xr:uid="{00000000-0005-0000-0000-0000B1690000}"/>
    <cellStyle name="Title 4 4 2 7" xfId="26720" xr:uid="{00000000-0005-0000-0000-0000B2690000}"/>
    <cellStyle name="Title 4 4 3" xfId="26721" xr:uid="{00000000-0005-0000-0000-0000B3690000}"/>
    <cellStyle name="Title 4 4 4" xfId="26722" xr:uid="{00000000-0005-0000-0000-0000B4690000}"/>
    <cellStyle name="Title 4 4 5" xfId="26723" xr:uid="{00000000-0005-0000-0000-0000B5690000}"/>
    <cellStyle name="Title 4 4 6" xfId="26724" xr:uid="{00000000-0005-0000-0000-0000B6690000}"/>
    <cellStyle name="Title 4 4 7" xfId="26725" xr:uid="{00000000-0005-0000-0000-0000B7690000}"/>
    <cellStyle name="Title 4 5" xfId="26726" xr:uid="{00000000-0005-0000-0000-0000B8690000}"/>
    <cellStyle name="Title 4 5 2" xfId="26727" xr:uid="{00000000-0005-0000-0000-0000B9690000}"/>
    <cellStyle name="Title 4 5 2 2" xfId="26728" xr:uid="{00000000-0005-0000-0000-0000BA690000}"/>
    <cellStyle name="Title 4 5 2 3" xfId="26729" xr:uid="{00000000-0005-0000-0000-0000BB690000}"/>
    <cellStyle name="Title 4 5 2 4" xfId="26730" xr:uid="{00000000-0005-0000-0000-0000BC690000}"/>
    <cellStyle name="Title 4 5 2 5" xfId="26731" xr:uid="{00000000-0005-0000-0000-0000BD690000}"/>
    <cellStyle name="Title 4 5 2 6" xfId="26732" xr:uid="{00000000-0005-0000-0000-0000BE690000}"/>
    <cellStyle name="Title 4 5 2 7" xfId="26733" xr:uid="{00000000-0005-0000-0000-0000BF690000}"/>
    <cellStyle name="Title 4 5 3" xfId="26734" xr:uid="{00000000-0005-0000-0000-0000C0690000}"/>
    <cellStyle name="Title 4 5 4" xfId="26735" xr:uid="{00000000-0005-0000-0000-0000C1690000}"/>
    <cellStyle name="Title 4 5 5" xfId="26736" xr:uid="{00000000-0005-0000-0000-0000C2690000}"/>
    <cellStyle name="Title 4 5 6" xfId="26737" xr:uid="{00000000-0005-0000-0000-0000C3690000}"/>
    <cellStyle name="Title 4 5 7" xfId="26738" xr:uid="{00000000-0005-0000-0000-0000C4690000}"/>
    <cellStyle name="Title 4 6" xfId="26739" xr:uid="{00000000-0005-0000-0000-0000C5690000}"/>
    <cellStyle name="Title 4 6 2" xfId="26740" xr:uid="{00000000-0005-0000-0000-0000C6690000}"/>
    <cellStyle name="Title 4 6 2 2" xfId="26741" xr:uid="{00000000-0005-0000-0000-0000C7690000}"/>
    <cellStyle name="Title 4 6 2 3" xfId="26742" xr:uid="{00000000-0005-0000-0000-0000C8690000}"/>
    <cellStyle name="Title 4 6 2 4" xfId="26743" xr:uid="{00000000-0005-0000-0000-0000C9690000}"/>
    <cellStyle name="Title 4 6 2 5" xfId="26744" xr:uid="{00000000-0005-0000-0000-0000CA690000}"/>
    <cellStyle name="Title 4 6 2 6" xfId="26745" xr:uid="{00000000-0005-0000-0000-0000CB690000}"/>
    <cellStyle name="Title 4 6 2 7" xfId="26746" xr:uid="{00000000-0005-0000-0000-0000CC690000}"/>
    <cellStyle name="Title 4 6 3" xfId="26747" xr:uid="{00000000-0005-0000-0000-0000CD690000}"/>
    <cellStyle name="Title 4 6 4" xfId="26748" xr:uid="{00000000-0005-0000-0000-0000CE690000}"/>
    <cellStyle name="Title 4 6 5" xfId="26749" xr:uid="{00000000-0005-0000-0000-0000CF690000}"/>
    <cellStyle name="Title 4 6 6" xfId="26750" xr:uid="{00000000-0005-0000-0000-0000D0690000}"/>
    <cellStyle name="Title 4 6 7" xfId="26751" xr:uid="{00000000-0005-0000-0000-0000D1690000}"/>
    <cellStyle name="Title 4 7" xfId="26752" xr:uid="{00000000-0005-0000-0000-0000D2690000}"/>
    <cellStyle name="Title 4 7 2" xfId="26753" xr:uid="{00000000-0005-0000-0000-0000D3690000}"/>
    <cellStyle name="Title 4 7 2 2" xfId="26754" xr:uid="{00000000-0005-0000-0000-0000D4690000}"/>
    <cellStyle name="Title 4 7 2 3" xfId="26755" xr:uid="{00000000-0005-0000-0000-0000D5690000}"/>
    <cellStyle name="Title 4 7 2 4" xfId="26756" xr:uid="{00000000-0005-0000-0000-0000D6690000}"/>
    <cellStyle name="Title 4 7 2 5" xfId="26757" xr:uid="{00000000-0005-0000-0000-0000D7690000}"/>
    <cellStyle name="Title 4 7 2 6" xfId="26758" xr:uid="{00000000-0005-0000-0000-0000D8690000}"/>
    <cellStyle name="Title 4 7 2 7" xfId="26759" xr:uid="{00000000-0005-0000-0000-0000D9690000}"/>
    <cellStyle name="Title 4 7 3" xfId="26760" xr:uid="{00000000-0005-0000-0000-0000DA690000}"/>
    <cellStyle name="Title 4 7 4" xfId="26761" xr:uid="{00000000-0005-0000-0000-0000DB690000}"/>
    <cellStyle name="Title 4 7 5" xfId="26762" xr:uid="{00000000-0005-0000-0000-0000DC690000}"/>
    <cellStyle name="Title 4 7 6" xfId="26763" xr:uid="{00000000-0005-0000-0000-0000DD690000}"/>
    <cellStyle name="Title 4 7 7" xfId="26764" xr:uid="{00000000-0005-0000-0000-0000DE690000}"/>
    <cellStyle name="Title 4 8" xfId="26765" xr:uid="{00000000-0005-0000-0000-0000DF690000}"/>
    <cellStyle name="Title 4 8 2" xfId="26766" xr:uid="{00000000-0005-0000-0000-0000E0690000}"/>
    <cellStyle name="Title 4 8 2 2" xfId="26767" xr:uid="{00000000-0005-0000-0000-0000E1690000}"/>
    <cellStyle name="Title 4 8 2 3" xfId="26768" xr:uid="{00000000-0005-0000-0000-0000E2690000}"/>
    <cellStyle name="Title 4 8 2 4" xfId="26769" xr:uid="{00000000-0005-0000-0000-0000E3690000}"/>
    <cellStyle name="Title 4 8 2 5" xfId="26770" xr:uid="{00000000-0005-0000-0000-0000E4690000}"/>
    <cellStyle name="Title 4 8 2 6" xfId="26771" xr:uid="{00000000-0005-0000-0000-0000E5690000}"/>
    <cellStyle name="Title 4 8 2 7" xfId="26772" xr:uid="{00000000-0005-0000-0000-0000E6690000}"/>
    <cellStyle name="Title 4 8 3" xfId="26773" xr:uid="{00000000-0005-0000-0000-0000E7690000}"/>
    <cellStyle name="Title 4 8 4" xfId="26774" xr:uid="{00000000-0005-0000-0000-0000E8690000}"/>
    <cellStyle name="Title 4 8 5" xfId="26775" xr:uid="{00000000-0005-0000-0000-0000E9690000}"/>
    <cellStyle name="Title 4 8 6" xfId="26776" xr:uid="{00000000-0005-0000-0000-0000EA690000}"/>
    <cellStyle name="Title 4 8 7" xfId="26777" xr:uid="{00000000-0005-0000-0000-0000EB690000}"/>
    <cellStyle name="Title 4 9" xfId="26778" xr:uid="{00000000-0005-0000-0000-0000EC690000}"/>
    <cellStyle name="Title 4 9 2" xfId="26779" xr:uid="{00000000-0005-0000-0000-0000ED690000}"/>
    <cellStyle name="Title 4 9 3" xfId="26780" xr:uid="{00000000-0005-0000-0000-0000EE690000}"/>
    <cellStyle name="Title 4 9 4" xfId="26781" xr:uid="{00000000-0005-0000-0000-0000EF690000}"/>
    <cellStyle name="Title 4 9 5" xfId="26782" xr:uid="{00000000-0005-0000-0000-0000F0690000}"/>
    <cellStyle name="Title 4 9 6" xfId="26783" xr:uid="{00000000-0005-0000-0000-0000F1690000}"/>
    <cellStyle name="Title 4 9 7" xfId="26784" xr:uid="{00000000-0005-0000-0000-0000F2690000}"/>
    <cellStyle name="Title 40" xfId="26785" xr:uid="{00000000-0005-0000-0000-0000F3690000}"/>
    <cellStyle name="Title 40 2" xfId="26786" xr:uid="{00000000-0005-0000-0000-0000F4690000}"/>
    <cellStyle name="Title 40 3" xfId="26787" xr:uid="{00000000-0005-0000-0000-0000F5690000}"/>
    <cellStyle name="Title 40 4" xfId="26788" xr:uid="{00000000-0005-0000-0000-0000F6690000}"/>
    <cellStyle name="Title 40 5" xfId="26789" xr:uid="{00000000-0005-0000-0000-0000F7690000}"/>
    <cellStyle name="Title 40 6" xfId="26790" xr:uid="{00000000-0005-0000-0000-0000F8690000}"/>
    <cellStyle name="Title 40 7" xfId="26791" xr:uid="{00000000-0005-0000-0000-0000F9690000}"/>
    <cellStyle name="Title 40 8" xfId="26792" xr:uid="{00000000-0005-0000-0000-0000FA690000}"/>
    <cellStyle name="Title 40 9" xfId="26793" xr:uid="{00000000-0005-0000-0000-0000FB690000}"/>
    <cellStyle name="Title 41" xfId="26794" xr:uid="{00000000-0005-0000-0000-0000FC690000}"/>
    <cellStyle name="Title 41 2" xfId="26795" xr:uid="{00000000-0005-0000-0000-0000FD690000}"/>
    <cellStyle name="Title 41 3" xfId="26796" xr:uid="{00000000-0005-0000-0000-0000FE690000}"/>
    <cellStyle name="Title 41 4" xfId="26797" xr:uid="{00000000-0005-0000-0000-0000FF690000}"/>
    <cellStyle name="Title 41 5" xfId="26798" xr:uid="{00000000-0005-0000-0000-0000006A0000}"/>
    <cellStyle name="Title 41 6" xfId="26799" xr:uid="{00000000-0005-0000-0000-0000016A0000}"/>
    <cellStyle name="Title 41 7" xfId="26800" xr:uid="{00000000-0005-0000-0000-0000026A0000}"/>
    <cellStyle name="Title 41 8" xfId="26801" xr:uid="{00000000-0005-0000-0000-0000036A0000}"/>
    <cellStyle name="Title 41 9" xfId="26802" xr:uid="{00000000-0005-0000-0000-0000046A0000}"/>
    <cellStyle name="Title 42" xfId="26803" xr:uid="{00000000-0005-0000-0000-0000056A0000}"/>
    <cellStyle name="Title 42 2" xfId="26804" xr:uid="{00000000-0005-0000-0000-0000066A0000}"/>
    <cellStyle name="Title 42 3" xfId="26805" xr:uid="{00000000-0005-0000-0000-0000076A0000}"/>
    <cellStyle name="Title 42 4" xfId="26806" xr:uid="{00000000-0005-0000-0000-0000086A0000}"/>
    <cellStyle name="Title 42 5" xfId="26807" xr:uid="{00000000-0005-0000-0000-0000096A0000}"/>
    <cellStyle name="Title 42 6" xfId="26808" xr:uid="{00000000-0005-0000-0000-00000A6A0000}"/>
    <cellStyle name="Title 42 7" xfId="26809" xr:uid="{00000000-0005-0000-0000-00000B6A0000}"/>
    <cellStyle name="Title 42 8" xfId="26810" xr:uid="{00000000-0005-0000-0000-00000C6A0000}"/>
    <cellStyle name="Title 42 9" xfId="26811" xr:uid="{00000000-0005-0000-0000-00000D6A0000}"/>
    <cellStyle name="Title 43" xfId="26812" xr:uid="{00000000-0005-0000-0000-00000E6A0000}"/>
    <cellStyle name="Title 43 2" xfId="26813" xr:uid="{00000000-0005-0000-0000-00000F6A0000}"/>
    <cellStyle name="Title 43 3" xfId="26814" xr:uid="{00000000-0005-0000-0000-0000106A0000}"/>
    <cellStyle name="Title 43 4" xfId="26815" xr:uid="{00000000-0005-0000-0000-0000116A0000}"/>
    <cellStyle name="Title 43 5" xfId="26816" xr:uid="{00000000-0005-0000-0000-0000126A0000}"/>
    <cellStyle name="Title 43 6" xfId="26817" xr:uid="{00000000-0005-0000-0000-0000136A0000}"/>
    <cellStyle name="Title 43 7" xfId="26818" xr:uid="{00000000-0005-0000-0000-0000146A0000}"/>
    <cellStyle name="Title 43 8" xfId="26819" xr:uid="{00000000-0005-0000-0000-0000156A0000}"/>
    <cellStyle name="Title 43 9" xfId="26820" xr:uid="{00000000-0005-0000-0000-0000166A0000}"/>
    <cellStyle name="Title 44" xfId="26821" xr:uid="{00000000-0005-0000-0000-0000176A0000}"/>
    <cellStyle name="Title 44 2" xfId="26822" xr:uid="{00000000-0005-0000-0000-0000186A0000}"/>
    <cellStyle name="Title 44 3" xfId="26823" xr:uid="{00000000-0005-0000-0000-0000196A0000}"/>
    <cellStyle name="Title 44 4" xfId="26824" xr:uid="{00000000-0005-0000-0000-00001A6A0000}"/>
    <cellStyle name="Title 44 5" xfId="26825" xr:uid="{00000000-0005-0000-0000-00001B6A0000}"/>
    <cellStyle name="Title 44 6" xfId="26826" xr:uid="{00000000-0005-0000-0000-00001C6A0000}"/>
    <cellStyle name="Title 44 7" xfId="26827" xr:uid="{00000000-0005-0000-0000-00001D6A0000}"/>
    <cellStyle name="Title 44 8" xfId="26828" xr:uid="{00000000-0005-0000-0000-00001E6A0000}"/>
    <cellStyle name="Title 44 9" xfId="26829" xr:uid="{00000000-0005-0000-0000-00001F6A0000}"/>
    <cellStyle name="Title 45" xfId="26830" xr:uid="{00000000-0005-0000-0000-0000206A0000}"/>
    <cellStyle name="Title 45 2" xfId="26831" xr:uid="{00000000-0005-0000-0000-0000216A0000}"/>
    <cellStyle name="Title 45 3" xfId="26832" xr:uid="{00000000-0005-0000-0000-0000226A0000}"/>
    <cellStyle name="Title 45 4" xfId="26833" xr:uid="{00000000-0005-0000-0000-0000236A0000}"/>
    <cellStyle name="Title 45 5" xfId="26834" xr:uid="{00000000-0005-0000-0000-0000246A0000}"/>
    <cellStyle name="Title 45 6" xfId="26835" xr:uid="{00000000-0005-0000-0000-0000256A0000}"/>
    <cellStyle name="Title 45 7" xfId="26836" xr:uid="{00000000-0005-0000-0000-0000266A0000}"/>
    <cellStyle name="Title 45 8" xfId="26837" xr:uid="{00000000-0005-0000-0000-0000276A0000}"/>
    <cellStyle name="Title 45 9" xfId="26838" xr:uid="{00000000-0005-0000-0000-0000286A0000}"/>
    <cellStyle name="Title 46" xfId="26839" xr:uid="{00000000-0005-0000-0000-0000296A0000}"/>
    <cellStyle name="Title 46 2" xfId="26840" xr:uid="{00000000-0005-0000-0000-00002A6A0000}"/>
    <cellStyle name="Title 46 3" xfId="26841" xr:uid="{00000000-0005-0000-0000-00002B6A0000}"/>
    <cellStyle name="Title 46 4" xfId="26842" xr:uid="{00000000-0005-0000-0000-00002C6A0000}"/>
    <cellStyle name="Title 46 5" xfId="26843" xr:uid="{00000000-0005-0000-0000-00002D6A0000}"/>
    <cellStyle name="Title 46 6" xfId="26844" xr:uid="{00000000-0005-0000-0000-00002E6A0000}"/>
    <cellStyle name="Title 46 7" xfId="26845" xr:uid="{00000000-0005-0000-0000-00002F6A0000}"/>
    <cellStyle name="Title 46 8" xfId="26846" xr:uid="{00000000-0005-0000-0000-0000306A0000}"/>
    <cellStyle name="Title 46 9" xfId="26847" xr:uid="{00000000-0005-0000-0000-0000316A0000}"/>
    <cellStyle name="Title 47" xfId="26848" xr:uid="{00000000-0005-0000-0000-0000326A0000}"/>
    <cellStyle name="Title 47 2" xfId="26849" xr:uid="{00000000-0005-0000-0000-0000336A0000}"/>
    <cellStyle name="Title 47 3" xfId="26850" xr:uid="{00000000-0005-0000-0000-0000346A0000}"/>
    <cellStyle name="Title 47 4" xfId="26851" xr:uid="{00000000-0005-0000-0000-0000356A0000}"/>
    <cellStyle name="Title 47 5" xfId="26852" xr:uid="{00000000-0005-0000-0000-0000366A0000}"/>
    <cellStyle name="Title 47 6" xfId="26853" xr:uid="{00000000-0005-0000-0000-0000376A0000}"/>
    <cellStyle name="Title 47 7" xfId="26854" xr:uid="{00000000-0005-0000-0000-0000386A0000}"/>
    <cellStyle name="Title 47 8" xfId="26855" xr:uid="{00000000-0005-0000-0000-0000396A0000}"/>
    <cellStyle name="Title 47 9" xfId="26856" xr:uid="{00000000-0005-0000-0000-00003A6A0000}"/>
    <cellStyle name="Title 48" xfId="26857" xr:uid="{00000000-0005-0000-0000-00003B6A0000}"/>
    <cellStyle name="Title 48 2" xfId="26858" xr:uid="{00000000-0005-0000-0000-00003C6A0000}"/>
    <cellStyle name="Title 48 3" xfId="26859" xr:uid="{00000000-0005-0000-0000-00003D6A0000}"/>
    <cellStyle name="Title 48 4" xfId="26860" xr:uid="{00000000-0005-0000-0000-00003E6A0000}"/>
    <cellStyle name="Title 48 5" xfId="26861" xr:uid="{00000000-0005-0000-0000-00003F6A0000}"/>
    <cellStyle name="Title 48 6" xfId="26862" xr:uid="{00000000-0005-0000-0000-0000406A0000}"/>
    <cellStyle name="Title 48 7" xfId="26863" xr:uid="{00000000-0005-0000-0000-0000416A0000}"/>
    <cellStyle name="Title 48 8" xfId="26864" xr:uid="{00000000-0005-0000-0000-0000426A0000}"/>
    <cellStyle name="Title 48 9" xfId="26865" xr:uid="{00000000-0005-0000-0000-0000436A0000}"/>
    <cellStyle name="Title 49" xfId="26866" xr:uid="{00000000-0005-0000-0000-0000446A0000}"/>
    <cellStyle name="Title 49 2" xfId="26867" xr:uid="{00000000-0005-0000-0000-0000456A0000}"/>
    <cellStyle name="Title 49 3" xfId="26868" xr:uid="{00000000-0005-0000-0000-0000466A0000}"/>
    <cellStyle name="Title 49 4" xfId="26869" xr:uid="{00000000-0005-0000-0000-0000476A0000}"/>
    <cellStyle name="Title 49 5" xfId="26870" xr:uid="{00000000-0005-0000-0000-0000486A0000}"/>
    <cellStyle name="Title 49 6" xfId="26871" xr:uid="{00000000-0005-0000-0000-0000496A0000}"/>
    <cellStyle name="Title 49 7" xfId="26872" xr:uid="{00000000-0005-0000-0000-00004A6A0000}"/>
    <cellStyle name="Title 49 8" xfId="26873" xr:uid="{00000000-0005-0000-0000-00004B6A0000}"/>
    <cellStyle name="Title 49 9" xfId="26874" xr:uid="{00000000-0005-0000-0000-00004C6A0000}"/>
    <cellStyle name="Title 5" xfId="26875" xr:uid="{00000000-0005-0000-0000-00004D6A0000}"/>
    <cellStyle name="Title 5 10" xfId="26876" xr:uid="{00000000-0005-0000-0000-00004E6A0000}"/>
    <cellStyle name="Title 5 11" xfId="26877" xr:uid="{00000000-0005-0000-0000-00004F6A0000}"/>
    <cellStyle name="Title 5 12" xfId="26878" xr:uid="{00000000-0005-0000-0000-0000506A0000}"/>
    <cellStyle name="Title 5 13" xfId="26879" xr:uid="{00000000-0005-0000-0000-0000516A0000}"/>
    <cellStyle name="Title 5 14" xfId="26880" xr:uid="{00000000-0005-0000-0000-0000526A0000}"/>
    <cellStyle name="Title 5 15" xfId="26881" xr:uid="{00000000-0005-0000-0000-0000536A0000}"/>
    <cellStyle name="Title 5 2" xfId="26882" xr:uid="{00000000-0005-0000-0000-0000546A0000}"/>
    <cellStyle name="Title 5 2 2" xfId="26883" xr:uid="{00000000-0005-0000-0000-0000556A0000}"/>
    <cellStyle name="Title 5 2 2 2" xfId="26884" xr:uid="{00000000-0005-0000-0000-0000566A0000}"/>
    <cellStyle name="Title 5 2 2 3" xfId="26885" xr:uid="{00000000-0005-0000-0000-0000576A0000}"/>
    <cellStyle name="Title 5 2 2 4" xfId="26886" xr:uid="{00000000-0005-0000-0000-0000586A0000}"/>
    <cellStyle name="Title 5 2 2 5" xfId="26887" xr:uid="{00000000-0005-0000-0000-0000596A0000}"/>
    <cellStyle name="Title 5 2 2 6" xfId="26888" xr:uid="{00000000-0005-0000-0000-00005A6A0000}"/>
    <cellStyle name="Title 5 2 2 7" xfId="26889" xr:uid="{00000000-0005-0000-0000-00005B6A0000}"/>
    <cellStyle name="Title 5 2 3" xfId="26890" xr:uid="{00000000-0005-0000-0000-00005C6A0000}"/>
    <cellStyle name="Title 5 2 4" xfId="26891" xr:uid="{00000000-0005-0000-0000-00005D6A0000}"/>
    <cellStyle name="Title 5 2 5" xfId="26892" xr:uid="{00000000-0005-0000-0000-00005E6A0000}"/>
    <cellStyle name="Title 5 2 6" xfId="26893" xr:uid="{00000000-0005-0000-0000-00005F6A0000}"/>
    <cellStyle name="Title 5 2 7" xfId="26894" xr:uid="{00000000-0005-0000-0000-0000606A0000}"/>
    <cellStyle name="Title 5 3" xfId="26895" xr:uid="{00000000-0005-0000-0000-0000616A0000}"/>
    <cellStyle name="Title 5 3 2" xfId="26896" xr:uid="{00000000-0005-0000-0000-0000626A0000}"/>
    <cellStyle name="Title 5 3 2 2" xfId="26897" xr:uid="{00000000-0005-0000-0000-0000636A0000}"/>
    <cellStyle name="Title 5 3 2 3" xfId="26898" xr:uid="{00000000-0005-0000-0000-0000646A0000}"/>
    <cellStyle name="Title 5 3 2 4" xfId="26899" xr:uid="{00000000-0005-0000-0000-0000656A0000}"/>
    <cellStyle name="Title 5 3 2 5" xfId="26900" xr:uid="{00000000-0005-0000-0000-0000666A0000}"/>
    <cellStyle name="Title 5 3 2 6" xfId="26901" xr:uid="{00000000-0005-0000-0000-0000676A0000}"/>
    <cellStyle name="Title 5 3 2 7" xfId="26902" xr:uid="{00000000-0005-0000-0000-0000686A0000}"/>
    <cellStyle name="Title 5 3 3" xfId="26903" xr:uid="{00000000-0005-0000-0000-0000696A0000}"/>
    <cellStyle name="Title 5 3 4" xfId="26904" xr:uid="{00000000-0005-0000-0000-00006A6A0000}"/>
    <cellStyle name="Title 5 3 5" xfId="26905" xr:uid="{00000000-0005-0000-0000-00006B6A0000}"/>
    <cellStyle name="Title 5 3 6" xfId="26906" xr:uid="{00000000-0005-0000-0000-00006C6A0000}"/>
    <cellStyle name="Title 5 3 7" xfId="26907" xr:uid="{00000000-0005-0000-0000-00006D6A0000}"/>
    <cellStyle name="Title 5 4" xfId="26908" xr:uid="{00000000-0005-0000-0000-00006E6A0000}"/>
    <cellStyle name="Title 5 4 2" xfId="26909" xr:uid="{00000000-0005-0000-0000-00006F6A0000}"/>
    <cellStyle name="Title 5 4 2 2" xfId="26910" xr:uid="{00000000-0005-0000-0000-0000706A0000}"/>
    <cellStyle name="Title 5 4 2 3" xfId="26911" xr:uid="{00000000-0005-0000-0000-0000716A0000}"/>
    <cellStyle name="Title 5 4 2 4" xfId="26912" xr:uid="{00000000-0005-0000-0000-0000726A0000}"/>
    <cellStyle name="Title 5 4 2 5" xfId="26913" xr:uid="{00000000-0005-0000-0000-0000736A0000}"/>
    <cellStyle name="Title 5 4 2 6" xfId="26914" xr:uid="{00000000-0005-0000-0000-0000746A0000}"/>
    <cellStyle name="Title 5 4 2 7" xfId="26915" xr:uid="{00000000-0005-0000-0000-0000756A0000}"/>
    <cellStyle name="Title 5 4 3" xfId="26916" xr:uid="{00000000-0005-0000-0000-0000766A0000}"/>
    <cellStyle name="Title 5 4 4" xfId="26917" xr:uid="{00000000-0005-0000-0000-0000776A0000}"/>
    <cellStyle name="Title 5 4 5" xfId="26918" xr:uid="{00000000-0005-0000-0000-0000786A0000}"/>
    <cellStyle name="Title 5 4 6" xfId="26919" xr:uid="{00000000-0005-0000-0000-0000796A0000}"/>
    <cellStyle name="Title 5 4 7" xfId="26920" xr:uid="{00000000-0005-0000-0000-00007A6A0000}"/>
    <cellStyle name="Title 5 5" xfId="26921" xr:uid="{00000000-0005-0000-0000-00007B6A0000}"/>
    <cellStyle name="Title 5 5 2" xfId="26922" xr:uid="{00000000-0005-0000-0000-00007C6A0000}"/>
    <cellStyle name="Title 5 5 2 2" xfId="26923" xr:uid="{00000000-0005-0000-0000-00007D6A0000}"/>
    <cellStyle name="Title 5 5 2 3" xfId="26924" xr:uid="{00000000-0005-0000-0000-00007E6A0000}"/>
    <cellStyle name="Title 5 5 2 4" xfId="26925" xr:uid="{00000000-0005-0000-0000-00007F6A0000}"/>
    <cellStyle name="Title 5 5 2 5" xfId="26926" xr:uid="{00000000-0005-0000-0000-0000806A0000}"/>
    <cellStyle name="Title 5 5 2 6" xfId="26927" xr:uid="{00000000-0005-0000-0000-0000816A0000}"/>
    <cellStyle name="Title 5 5 2 7" xfId="26928" xr:uid="{00000000-0005-0000-0000-0000826A0000}"/>
    <cellStyle name="Title 5 5 3" xfId="26929" xr:uid="{00000000-0005-0000-0000-0000836A0000}"/>
    <cellStyle name="Title 5 5 4" xfId="26930" xr:uid="{00000000-0005-0000-0000-0000846A0000}"/>
    <cellStyle name="Title 5 5 5" xfId="26931" xr:uid="{00000000-0005-0000-0000-0000856A0000}"/>
    <cellStyle name="Title 5 5 6" xfId="26932" xr:uid="{00000000-0005-0000-0000-0000866A0000}"/>
    <cellStyle name="Title 5 5 7" xfId="26933" xr:uid="{00000000-0005-0000-0000-0000876A0000}"/>
    <cellStyle name="Title 5 6" xfId="26934" xr:uid="{00000000-0005-0000-0000-0000886A0000}"/>
    <cellStyle name="Title 5 6 2" xfId="26935" xr:uid="{00000000-0005-0000-0000-0000896A0000}"/>
    <cellStyle name="Title 5 6 2 2" xfId="26936" xr:uid="{00000000-0005-0000-0000-00008A6A0000}"/>
    <cellStyle name="Title 5 6 2 3" xfId="26937" xr:uid="{00000000-0005-0000-0000-00008B6A0000}"/>
    <cellStyle name="Title 5 6 2 4" xfId="26938" xr:uid="{00000000-0005-0000-0000-00008C6A0000}"/>
    <cellStyle name="Title 5 6 2 5" xfId="26939" xr:uid="{00000000-0005-0000-0000-00008D6A0000}"/>
    <cellStyle name="Title 5 6 2 6" xfId="26940" xr:uid="{00000000-0005-0000-0000-00008E6A0000}"/>
    <cellStyle name="Title 5 6 2 7" xfId="26941" xr:uid="{00000000-0005-0000-0000-00008F6A0000}"/>
    <cellStyle name="Title 5 6 3" xfId="26942" xr:uid="{00000000-0005-0000-0000-0000906A0000}"/>
    <cellStyle name="Title 5 6 4" xfId="26943" xr:uid="{00000000-0005-0000-0000-0000916A0000}"/>
    <cellStyle name="Title 5 6 5" xfId="26944" xr:uid="{00000000-0005-0000-0000-0000926A0000}"/>
    <cellStyle name="Title 5 6 6" xfId="26945" xr:uid="{00000000-0005-0000-0000-0000936A0000}"/>
    <cellStyle name="Title 5 6 7" xfId="26946" xr:uid="{00000000-0005-0000-0000-0000946A0000}"/>
    <cellStyle name="Title 5 7" xfId="26947" xr:uid="{00000000-0005-0000-0000-0000956A0000}"/>
    <cellStyle name="Title 5 7 2" xfId="26948" xr:uid="{00000000-0005-0000-0000-0000966A0000}"/>
    <cellStyle name="Title 5 7 2 2" xfId="26949" xr:uid="{00000000-0005-0000-0000-0000976A0000}"/>
    <cellStyle name="Title 5 7 2 3" xfId="26950" xr:uid="{00000000-0005-0000-0000-0000986A0000}"/>
    <cellStyle name="Title 5 7 2 4" xfId="26951" xr:uid="{00000000-0005-0000-0000-0000996A0000}"/>
    <cellStyle name="Title 5 7 2 5" xfId="26952" xr:uid="{00000000-0005-0000-0000-00009A6A0000}"/>
    <cellStyle name="Title 5 7 2 6" xfId="26953" xr:uid="{00000000-0005-0000-0000-00009B6A0000}"/>
    <cellStyle name="Title 5 7 2 7" xfId="26954" xr:uid="{00000000-0005-0000-0000-00009C6A0000}"/>
    <cellStyle name="Title 5 7 3" xfId="26955" xr:uid="{00000000-0005-0000-0000-00009D6A0000}"/>
    <cellStyle name="Title 5 7 4" xfId="26956" xr:uid="{00000000-0005-0000-0000-00009E6A0000}"/>
    <cellStyle name="Title 5 7 5" xfId="26957" xr:uid="{00000000-0005-0000-0000-00009F6A0000}"/>
    <cellStyle name="Title 5 7 6" xfId="26958" xr:uid="{00000000-0005-0000-0000-0000A06A0000}"/>
    <cellStyle name="Title 5 7 7" xfId="26959" xr:uid="{00000000-0005-0000-0000-0000A16A0000}"/>
    <cellStyle name="Title 5 8" xfId="26960" xr:uid="{00000000-0005-0000-0000-0000A26A0000}"/>
    <cellStyle name="Title 5 8 2" xfId="26961" xr:uid="{00000000-0005-0000-0000-0000A36A0000}"/>
    <cellStyle name="Title 5 8 3" xfId="26962" xr:uid="{00000000-0005-0000-0000-0000A46A0000}"/>
    <cellStyle name="Title 5 8 4" xfId="26963" xr:uid="{00000000-0005-0000-0000-0000A56A0000}"/>
    <cellStyle name="Title 5 8 5" xfId="26964" xr:uid="{00000000-0005-0000-0000-0000A66A0000}"/>
    <cellStyle name="Title 5 8 6" xfId="26965" xr:uid="{00000000-0005-0000-0000-0000A76A0000}"/>
    <cellStyle name="Title 5 8 7" xfId="26966" xr:uid="{00000000-0005-0000-0000-0000A86A0000}"/>
    <cellStyle name="Title 5 9" xfId="26967" xr:uid="{00000000-0005-0000-0000-0000A96A0000}"/>
    <cellStyle name="Title 50" xfId="26968" xr:uid="{00000000-0005-0000-0000-0000AA6A0000}"/>
    <cellStyle name="Title 50 2" xfId="26969" xr:uid="{00000000-0005-0000-0000-0000AB6A0000}"/>
    <cellStyle name="Title 50 3" xfId="26970" xr:uid="{00000000-0005-0000-0000-0000AC6A0000}"/>
    <cellStyle name="Title 50 4" xfId="26971" xr:uid="{00000000-0005-0000-0000-0000AD6A0000}"/>
    <cellStyle name="Title 50 5" xfId="26972" xr:uid="{00000000-0005-0000-0000-0000AE6A0000}"/>
    <cellStyle name="Title 50 6" xfId="26973" xr:uid="{00000000-0005-0000-0000-0000AF6A0000}"/>
    <cellStyle name="Title 50 7" xfId="26974" xr:uid="{00000000-0005-0000-0000-0000B06A0000}"/>
    <cellStyle name="Title 50 8" xfId="26975" xr:uid="{00000000-0005-0000-0000-0000B16A0000}"/>
    <cellStyle name="Title 50 9" xfId="26976" xr:uid="{00000000-0005-0000-0000-0000B26A0000}"/>
    <cellStyle name="Title 51" xfId="26977" xr:uid="{00000000-0005-0000-0000-0000B36A0000}"/>
    <cellStyle name="Title 51 2" xfId="26978" xr:uid="{00000000-0005-0000-0000-0000B46A0000}"/>
    <cellStyle name="Title 51 3" xfId="26979" xr:uid="{00000000-0005-0000-0000-0000B56A0000}"/>
    <cellStyle name="Title 51 4" xfId="26980" xr:uid="{00000000-0005-0000-0000-0000B66A0000}"/>
    <cellStyle name="Title 51 5" xfId="26981" xr:uid="{00000000-0005-0000-0000-0000B76A0000}"/>
    <cellStyle name="Title 51 6" xfId="26982" xr:uid="{00000000-0005-0000-0000-0000B86A0000}"/>
    <cellStyle name="Title 51 7" xfId="26983" xr:uid="{00000000-0005-0000-0000-0000B96A0000}"/>
    <cellStyle name="Title 51 8" xfId="26984" xr:uid="{00000000-0005-0000-0000-0000BA6A0000}"/>
    <cellStyle name="Title 51 9" xfId="26985" xr:uid="{00000000-0005-0000-0000-0000BB6A0000}"/>
    <cellStyle name="Title 52" xfId="26986" xr:uid="{00000000-0005-0000-0000-0000BC6A0000}"/>
    <cellStyle name="Title 52 2" xfId="26987" xr:uid="{00000000-0005-0000-0000-0000BD6A0000}"/>
    <cellStyle name="Title 52 3" xfId="26988" xr:uid="{00000000-0005-0000-0000-0000BE6A0000}"/>
    <cellStyle name="Title 52 4" xfId="26989" xr:uid="{00000000-0005-0000-0000-0000BF6A0000}"/>
    <cellStyle name="Title 52 5" xfId="26990" xr:uid="{00000000-0005-0000-0000-0000C06A0000}"/>
    <cellStyle name="Title 52 6" xfId="26991" xr:uid="{00000000-0005-0000-0000-0000C16A0000}"/>
    <cellStyle name="Title 52 7" xfId="26992" xr:uid="{00000000-0005-0000-0000-0000C26A0000}"/>
    <cellStyle name="Title 52 8" xfId="26993" xr:uid="{00000000-0005-0000-0000-0000C36A0000}"/>
    <cellStyle name="Title 52 9" xfId="26994" xr:uid="{00000000-0005-0000-0000-0000C46A0000}"/>
    <cellStyle name="Title 53" xfId="26995" xr:uid="{00000000-0005-0000-0000-0000C56A0000}"/>
    <cellStyle name="Title 53 2" xfId="26996" xr:uid="{00000000-0005-0000-0000-0000C66A0000}"/>
    <cellStyle name="Title 53 3" xfId="26997" xr:uid="{00000000-0005-0000-0000-0000C76A0000}"/>
    <cellStyle name="Title 53 4" xfId="26998" xr:uid="{00000000-0005-0000-0000-0000C86A0000}"/>
    <cellStyle name="Title 53 5" xfId="26999" xr:uid="{00000000-0005-0000-0000-0000C96A0000}"/>
    <cellStyle name="Title 53 6" xfId="27000" xr:uid="{00000000-0005-0000-0000-0000CA6A0000}"/>
    <cellStyle name="Title 53 7" xfId="27001" xr:uid="{00000000-0005-0000-0000-0000CB6A0000}"/>
    <cellStyle name="Title 53 8" xfId="27002" xr:uid="{00000000-0005-0000-0000-0000CC6A0000}"/>
    <cellStyle name="Title 53 9" xfId="27003" xr:uid="{00000000-0005-0000-0000-0000CD6A0000}"/>
    <cellStyle name="Title 54" xfId="27004" xr:uid="{00000000-0005-0000-0000-0000CE6A0000}"/>
    <cellStyle name="Title 54 2" xfId="27005" xr:uid="{00000000-0005-0000-0000-0000CF6A0000}"/>
    <cellStyle name="Title 54 3" xfId="27006" xr:uid="{00000000-0005-0000-0000-0000D06A0000}"/>
    <cellStyle name="Title 54 4" xfId="27007" xr:uid="{00000000-0005-0000-0000-0000D16A0000}"/>
    <cellStyle name="Title 54 5" xfId="27008" xr:uid="{00000000-0005-0000-0000-0000D26A0000}"/>
    <cellStyle name="Title 54 6" xfId="27009" xr:uid="{00000000-0005-0000-0000-0000D36A0000}"/>
    <cellStyle name="Title 54 7" xfId="27010" xr:uid="{00000000-0005-0000-0000-0000D46A0000}"/>
    <cellStyle name="Title 54 8" xfId="27011" xr:uid="{00000000-0005-0000-0000-0000D56A0000}"/>
    <cellStyle name="Title 54 9" xfId="27012" xr:uid="{00000000-0005-0000-0000-0000D66A0000}"/>
    <cellStyle name="Title 55" xfId="27013" xr:uid="{00000000-0005-0000-0000-0000D76A0000}"/>
    <cellStyle name="Title 55 2" xfId="27014" xr:uid="{00000000-0005-0000-0000-0000D86A0000}"/>
    <cellStyle name="Title 55 3" xfId="27015" xr:uid="{00000000-0005-0000-0000-0000D96A0000}"/>
    <cellStyle name="Title 55 4" xfId="27016" xr:uid="{00000000-0005-0000-0000-0000DA6A0000}"/>
    <cellStyle name="Title 55 5" xfId="27017" xr:uid="{00000000-0005-0000-0000-0000DB6A0000}"/>
    <cellStyle name="Title 55 6" xfId="27018" xr:uid="{00000000-0005-0000-0000-0000DC6A0000}"/>
    <cellStyle name="Title 55 7" xfId="27019" xr:uid="{00000000-0005-0000-0000-0000DD6A0000}"/>
    <cellStyle name="Title 55 8" xfId="27020" xr:uid="{00000000-0005-0000-0000-0000DE6A0000}"/>
    <cellStyle name="Title 55 9" xfId="27021" xr:uid="{00000000-0005-0000-0000-0000DF6A0000}"/>
    <cellStyle name="Title 56" xfId="27022" xr:uid="{00000000-0005-0000-0000-0000E06A0000}"/>
    <cellStyle name="Title 56 2" xfId="27023" xr:uid="{00000000-0005-0000-0000-0000E16A0000}"/>
    <cellStyle name="Title 56 3" xfId="27024" xr:uid="{00000000-0005-0000-0000-0000E26A0000}"/>
    <cellStyle name="Title 56 4" xfId="27025" xr:uid="{00000000-0005-0000-0000-0000E36A0000}"/>
    <cellStyle name="Title 56 5" xfId="27026" xr:uid="{00000000-0005-0000-0000-0000E46A0000}"/>
    <cellStyle name="Title 56 6" xfId="27027" xr:uid="{00000000-0005-0000-0000-0000E56A0000}"/>
    <cellStyle name="Title 56 7" xfId="27028" xr:uid="{00000000-0005-0000-0000-0000E66A0000}"/>
    <cellStyle name="Title 56 8" xfId="27029" xr:uid="{00000000-0005-0000-0000-0000E76A0000}"/>
    <cellStyle name="Title 56 9" xfId="27030" xr:uid="{00000000-0005-0000-0000-0000E86A0000}"/>
    <cellStyle name="Title 57" xfId="27031" xr:uid="{00000000-0005-0000-0000-0000E96A0000}"/>
    <cellStyle name="Title 57 2" xfId="27032" xr:uid="{00000000-0005-0000-0000-0000EA6A0000}"/>
    <cellStyle name="Title 57 3" xfId="27033" xr:uid="{00000000-0005-0000-0000-0000EB6A0000}"/>
    <cellStyle name="Title 57 4" xfId="27034" xr:uid="{00000000-0005-0000-0000-0000EC6A0000}"/>
    <cellStyle name="Title 57 5" xfId="27035" xr:uid="{00000000-0005-0000-0000-0000ED6A0000}"/>
    <cellStyle name="Title 57 6" xfId="27036" xr:uid="{00000000-0005-0000-0000-0000EE6A0000}"/>
    <cellStyle name="Title 57 7" xfId="27037" xr:uid="{00000000-0005-0000-0000-0000EF6A0000}"/>
    <cellStyle name="Title 57 8" xfId="27038" xr:uid="{00000000-0005-0000-0000-0000F06A0000}"/>
    <cellStyle name="Title 57 9" xfId="27039" xr:uid="{00000000-0005-0000-0000-0000F16A0000}"/>
    <cellStyle name="Title 58" xfId="27040" xr:uid="{00000000-0005-0000-0000-0000F26A0000}"/>
    <cellStyle name="Title 58 2" xfId="27041" xr:uid="{00000000-0005-0000-0000-0000F36A0000}"/>
    <cellStyle name="Title 58 3" xfId="27042" xr:uid="{00000000-0005-0000-0000-0000F46A0000}"/>
    <cellStyle name="Title 58 4" xfId="27043" xr:uid="{00000000-0005-0000-0000-0000F56A0000}"/>
    <cellStyle name="Title 58 5" xfId="27044" xr:uid="{00000000-0005-0000-0000-0000F66A0000}"/>
    <cellStyle name="Title 58 6" xfId="27045" xr:uid="{00000000-0005-0000-0000-0000F76A0000}"/>
    <cellStyle name="Title 58 7" xfId="27046" xr:uid="{00000000-0005-0000-0000-0000F86A0000}"/>
    <cellStyle name="Title 58 8" xfId="27047" xr:uid="{00000000-0005-0000-0000-0000F96A0000}"/>
    <cellStyle name="Title 58 9" xfId="27048" xr:uid="{00000000-0005-0000-0000-0000FA6A0000}"/>
    <cellStyle name="Title 59" xfId="27049" xr:uid="{00000000-0005-0000-0000-0000FB6A0000}"/>
    <cellStyle name="Title 59 2" xfId="27050" xr:uid="{00000000-0005-0000-0000-0000FC6A0000}"/>
    <cellStyle name="Title 59 3" xfId="27051" xr:uid="{00000000-0005-0000-0000-0000FD6A0000}"/>
    <cellStyle name="Title 59 4" xfId="27052" xr:uid="{00000000-0005-0000-0000-0000FE6A0000}"/>
    <cellStyle name="Title 59 5" xfId="27053" xr:uid="{00000000-0005-0000-0000-0000FF6A0000}"/>
    <cellStyle name="Title 59 6" xfId="27054" xr:uid="{00000000-0005-0000-0000-0000006B0000}"/>
    <cellStyle name="Title 59 7" xfId="27055" xr:uid="{00000000-0005-0000-0000-0000016B0000}"/>
    <cellStyle name="Title 59 8" xfId="27056" xr:uid="{00000000-0005-0000-0000-0000026B0000}"/>
    <cellStyle name="Title 59 9" xfId="27057" xr:uid="{00000000-0005-0000-0000-0000036B0000}"/>
    <cellStyle name="Title 6" xfId="27058" xr:uid="{00000000-0005-0000-0000-0000046B0000}"/>
    <cellStyle name="Title 6 10" xfId="27059" xr:uid="{00000000-0005-0000-0000-0000056B0000}"/>
    <cellStyle name="Title 6 11" xfId="27060" xr:uid="{00000000-0005-0000-0000-0000066B0000}"/>
    <cellStyle name="Title 6 12" xfId="27061" xr:uid="{00000000-0005-0000-0000-0000076B0000}"/>
    <cellStyle name="Title 6 13" xfId="27062" xr:uid="{00000000-0005-0000-0000-0000086B0000}"/>
    <cellStyle name="Title 6 14" xfId="27063" xr:uid="{00000000-0005-0000-0000-0000096B0000}"/>
    <cellStyle name="Title 6 15" xfId="27064" xr:uid="{00000000-0005-0000-0000-00000A6B0000}"/>
    <cellStyle name="Title 6 2" xfId="27065" xr:uid="{00000000-0005-0000-0000-00000B6B0000}"/>
    <cellStyle name="Title 6 2 2" xfId="27066" xr:uid="{00000000-0005-0000-0000-00000C6B0000}"/>
    <cellStyle name="Title 6 2 2 2" xfId="27067" xr:uid="{00000000-0005-0000-0000-00000D6B0000}"/>
    <cellStyle name="Title 6 2 2 3" xfId="27068" xr:uid="{00000000-0005-0000-0000-00000E6B0000}"/>
    <cellStyle name="Title 6 2 2 4" xfId="27069" xr:uid="{00000000-0005-0000-0000-00000F6B0000}"/>
    <cellStyle name="Title 6 2 2 5" xfId="27070" xr:uid="{00000000-0005-0000-0000-0000106B0000}"/>
    <cellStyle name="Title 6 2 2 6" xfId="27071" xr:uid="{00000000-0005-0000-0000-0000116B0000}"/>
    <cellStyle name="Title 6 2 2 7" xfId="27072" xr:uid="{00000000-0005-0000-0000-0000126B0000}"/>
    <cellStyle name="Title 6 2 3" xfId="27073" xr:uid="{00000000-0005-0000-0000-0000136B0000}"/>
    <cellStyle name="Title 6 2 4" xfId="27074" xr:uid="{00000000-0005-0000-0000-0000146B0000}"/>
    <cellStyle name="Title 6 2 5" xfId="27075" xr:uid="{00000000-0005-0000-0000-0000156B0000}"/>
    <cellStyle name="Title 6 2 6" xfId="27076" xr:uid="{00000000-0005-0000-0000-0000166B0000}"/>
    <cellStyle name="Title 6 2 7" xfId="27077" xr:uid="{00000000-0005-0000-0000-0000176B0000}"/>
    <cellStyle name="Title 6 3" xfId="27078" xr:uid="{00000000-0005-0000-0000-0000186B0000}"/>
    <cellStyle name="Title 6 3 2" xfId="27079" xr:uid="{00000000-0005-0000-0000-0000196B0000}"/>
    <cellStyle name="Title 6 3 2 2" xfId="27080" xr:uid="{00000000-0005-0000-0000-00001A6B0000}"/>
    <cellStyle name="Title 6 3 2 3" xfId="27081" xr:uid="{00000000-0005-0000-0000-00001B6B0000}"/>
    <cellStyle name="Title 6 3 2 4" xfId="27082" xr:uid="{00000000-0005-0000-0000-00001C6B0000}"/>
    <cellStyle name="Title 6 3 2 5" xfId="27083" xr:uid="{00000000-0005-0000-0000-00001D6B0000}"/>
    <cellStyle name="Title 6 3 2 6" xfId="27084" xr:uid="{00000000-0005-0000-0000-00001E6B0000}"/>
    <cellStyle name="Title 6 3 2 7" xfId="27085" xr:uid="{00000000-0005-0000-0000-00001F6B0000}"/>
    <cellStyle name="Title 6 3 3" xfId="27086" xr:uid="{00000000-0005-0000-0000-0000206B0000}"/>
    <cellStyle name="Title 6 3 4" xfId="27087" xr:uid="{00000000-0005-0000-0000-0000216B0000}"/>
    <cellStyle name="Title 6 3 5" xfId="27088" xr:uid="{00000000-0005-0000-0000-0000226B0000}"/>
    <cellStyle name="Title 6 3 6" xfId="27089" xr:uid="{00000000-0005-0000-0000-0000236B0000}"/>
    <cellStyle name="Title 6 3 7" xfId="27090" xr:uid="{00000000-0005-0000-0000-0000246B0000}"/>
    <cellStyle name="Title 6 4" xfId="27091" xr:uid="{00000000-0005-0000-0000-0000256B0000}"/>
    <cellStyle name="Title 6 4 2" xfId="27092" xr:uid="{00000000-0005-0000-0000-0000266B0000}"/>
    <cellStyle name="Title 6 4 2 2" xfId="27093" xr:uid="{00000000-0005-0000-0000-0000276B0000}"/>
    <cellStyle name="Title 6 4 2 3" xfId="27094" xr:uid="{00000000-0005-0000-0000-0000286B0000}"/>
    <cellStyle name="Title 6 4 2 4" xfId="27095" xr:uid="{00000000-0005-0000-0000-0000296B0000}"/>
    <cellStyle name="Title 6 4 2 5" xfId="27096" xr:uid="{00000000-0005-0000-0000-00002A6B0000}"/>
    <cellStyle name="Title 6 4 2 6" xfId="27097" xr:uid="{00000000-0005-0000-0000-00002B6B0000}"/>
    <cellStyle name="Title 6 4 2 7" xfId="27098" xr:uid="{00000000-0005-0000-0000-00002C6B0000}"/>
    <cellStyle name="Title 6 4 3" xfId="27099" xr:uid="{00000000-0005-0000-0000-00002D6B0000}"/>
    <cellStyle name="Title 6 4 4" xfId="27100" xr:uid="{00000000-0005-0000-0000-00002E6B0000}"/>
    <cellStyle name="Title 6 4 5" xfId="27101" xr:uid="{00000000-0005-0000-0000-00002F6B0000}"/>
    <cellStyle name="Title 6 4 6" xfId="27102" xr:uid="{00000000-0005-0000-0000-0000306B0000}"/>
    <cellStyle name="Title 6 4 7" xfId="27103" xr:uid="{00000000-0005-0000-0000-0000316B0000}"/>
    <cellStyle name="Title 6 5" xfId="27104" xr:uid="{00000000-0005-0000-0000-0000326B0000}"/>
    <cellStyle name="Title 6 5 2" xfId="27105" xr:uid="{00000000-0005-0000-0000-0000336B0000}"/>
    <cellStyle name="Title 6 5 2 2" xfId="27106" xr:uid="{00000000-0005-0000-0000-0000346B0000}"/>
    <cellStyle name="Title 6 5 2 3" xfId="27107" xr:uid="{00000000-0005-0000-0000-0000356B0000}"/>
    <cellStyle name="Title 6 5 2 4" xfId="27108" xr:uid="{00000000-0005-0000-0000-0000366B0000}"/>
    <cellStyle name="Title 6 5 2 5" xfId="27109" xr:uid="{00000000-0005-0000-0000-0000376B0000}"/>
    <cellStyle name="Title 6 5 2 6" xfId="27110" xr:uid="{00000000-0005-0000-0000-0000386B0000}"/>
    <cellStyle name="Title 6 5 2 7" xfId="27111" xr:uid="{00000000-0005-0000-0000-0000396B0000}"/>
    <cellStyle name="Title 6 5 3" xfId="27112" xr:uid="{00000000-0005-0000-0000-00003A6B0000}"/>
    <cellStyle name="Title 6 5 4" xfId="27113" xr:uid="{00000000-0005-0000-0000-00003B6B0000}"/>
    <cellStyle name="Title 6 5 5" xfId="27114" xr:uid="{00000000-0005-0000-0000-00003C6B0000}"/>
    <cellStyle name="Title 6 5 6" xfId="27115" xr:uid="{00000000-0005-0000-0000-00003D6B0000}"/>
    <cellStyle name="Title 6 5 7" xfId="27116" xr:uid="{00000000-0005-0000-0000-00003E6B0000}"/>
    <cellStyle name="Title 6 6" xfId="27117" xr:uid="{00000000-0005-0000-0000-00003F6B0000}"/>
    <cellStyle name="Title 6 6 2" xfId="27118" xr:uid="{00000000-0005-0000-0000-0000406B0000}"/>
    <cellStyle name="Title 6 6 2 2" xfId="27119" xr:uid="{00000000-0005-0000-0000-0000416B0000}"/>
    <cellStyle name="Title 6 6 2 3" xfId="27120" xr:uid="{00000000-0005-0000-0000-0000426B0000}"/>
    <cellStyle name="Title 6 6 2 4" xfId="27121" xr:uid="{00000000-0005-0000-0000-0000436B0000}"/>
    <cellStyle name="Title 6 6 2 5" xfId="27122" xr:uid="{00000000-0005-0000-0000-0000446B0000}"/>
    <cellStyle name="Title 6 6 2 6" xfId="27123" xr:uid="{00000000-0005-0000-0000-0000456B0000}"/>
    <cellStyle name="Title 6 6 2 7" xfId="27124" xr:uid="{00000000-0005-0000-0000-0000466B0000}"/>
    <cellStyle name="Title 6 6 3" xfId="27125" xr:uid="{00000000-0005-0000-0000-0000476B0000}"/>
    <cellStyle name="Title 6 6 4" xfId="27126" xr:uid="{00000000-0005-0000-0000-0000486B0000}"/>
    <cellStyle name="Title 6 6 5" xfId="27127" xr:uid="{00000000-0005-0000-0000-0000496B0000}"/>
    <cellStyle name="Title 6 6 6" xfId="27128" xr:uid="{00000000-0005-0000-0000-00004A6B0000}"/>
    <cellStyle name="Title 6 6 7" xfId="27129" xr:uid="{00000000-0005-0000-0000-00004B6B0000}"/>
    <cellStyle name="Title 6 7" xfId="27130" xr:uid="{00000000-0005-0000-0000-00004C6B0000}"/>
    <cellStyle name="Title 6 7 2" xfId="27131" xr:uid="{00000000-0005-0000-0000-00004D6B0000}"/>
    <cellStyle name="Title 6 7 2 2" xfId="27132" xr:uid="{00000000-0005-0000-0000-00004E6B0000}"/>
    <cellStyle name="Title 6 7 2 3" xfId="27133" xr:uid="{00000000-0005-0000-0000-00004F6B0000}"/>
    <cellStyle name="Title 6 7 2 4" xfId="27134" xr:uid="{00000000-0005-0000-0000-0000506B0000}"/>
    <cellStyle name="Title 6 7 2 5" xfId="27135" xr:uid="{00000000-0005-0000-0000-0000516B0000}"/>
    <cellStyle name="Title 6 7 2 6" xfId="27136" xr:uid="{00000000-0005-0000-0000-0000526B0000}"/>
    <cellStyle name="Title 6 7 2 7" xfId="27137" xr:uid="{00000000-0005-0000-0000-0000536B0000}"/>
    <cellStyle name="Title 6 7 3" xfId="27138" xr:uid="{00000000-0005-0000-0000-0000546B0000}"/>
    <cellStyle name="Title 6 7 4" xfId="27139" xr:uid="{00000000-0005-0000-0000-0000556B0000}"/>
    <cellStyle name="Title 6 7 5" xfId="27140" xr:uid="{00000000-0005-0000-0000-0000566B0000}"/>
    <cellStyle name="Title 6 7 6" xfId="27141" xr:uid="{00000000-0005-0000-0000-0000576B0000}"/>
    <cellStyle name="Title 6 7 7" xfId="27142" xr:uid="{00000000-0005-0000-0000-0000586B0000}"/>
    <cellStyle name="Title 6 8" xfId="27143" xr:uid="{00000000-0005-0000-0000-0000596B0000}"/>
    <cellStyle name="Title 6 8 2" xfId="27144" xr:uid="{00000000-0005-0000-0000-00005A6B0000}"/>
    <cellStyle name="Title 6 8 3" xfId="27145" xr:uid="{00000000-0005-0000-0000-00005B6B0000}"/>
    <cellStyle name="Title 6 8 4" xfId="27146" xr:uid="{00000000-0005-0000-0000-00005C6B0000}"/>
    <cellStyle name="Title 6 8 5" xfId="27147" xr:uid="{00000000-0005-0000-0000-00005D6B0000}"/>
    <cellStyle name="Title 6 8 6" xfId="27148" xr:uid="{00000000-0005-0000-0000-00005E6B0000}"/>
    <cellStyle name="Title 6 8 7" xfId="27149" xr:uid="{00000000-0005-0000-0000-00005F6B0000}"/>
    <cellStyle name="Title 6 9" xfId="27150" xr:uid="{00000000-0005-0000-0000-0000606B0000}"/>
    <cellStyle name="Title 60" xfId="27151" xr:uid="{00000000-0005-0000-0000-0000616B0000}"/>
    <cellStyle name="Title 60 2" xfId="27152" xr:uid="{00000000-0005-0000-0000-0000626B0000}"/>
    <cellStyle name="Title 60 3" xfId="27153" xr:uid="{00000000-0005-0000-0000-0000636B0000}"/>
    <cellStyle name="Title 60 4" xfId="27154" xr:uid="{00000000-0005-0000-0000-0000646B0000}"/>
    <cellStyle name="Title 60 5" xfId="27155" xr:uid="{00000000-0005-0000-0000-0000656B0000}"/>
    <cellStyle name="Title 60 6" xfId="27156" xr:uid="{00000000-0005-0000-0000-0000666B0000}"/>
    <cellStyle name="Title 60 7" xfId="27157" xr:uid="{00000000-0005-0000-0000-0000676B0000}"/>
    <cellStyle name="Title 60 8" xfId="27158" xr:uid="{00000000-0005-0000-0000-0000686B0000}"/>
    <cellStyle name="Title 60 9" xfId="27159" xr:uid="{00000000-0005-0000-0000-0000696B0000}"/>
    <cellStyle name="Title 61" xfId="27160" xr:uid="{00000000-0005-0000-0000-00006A6B0000}"/>
    <cellStyle name="Title 61 2" xfId="27161" xr:uid="{00000000-0005-0000-0000-00006B6B0000}"/>
    <cellStyle name="Title 61 3" xfId="27162" xr:uid="{00000000-0005-0000-0000-00006C6B0000}"/>
    <cellStyle name="Title 61 4" xfId="27163" xr:uid="{00000000-0005-0000-0000-00006D6B0000}"/>
    <cellStyle name="Title 61 5" xfId="27164" xr:uid="{00000000-0005-0000-0000-00006E6B0000}"/>
    <cellStyle name="Title 61 6" xfId="27165" xr:uid="{00000000-0005-0000-0000-00006F6B0000}"/>
    <cellStyle name="Title 61 7" xfId="27166" xr:uid="{00000000-0005-0000-0000-0000706B0000}"/>
    <cellStyle name="Title 61 8" xfId="27167" xr:uid="{00000000-0005-0000-0000-0000716B0000}"/>
    <cellStyle name="Title 61 9" xfId="27168" xr:uid="{00000000-0005-0000-0000-0000726B0000}"/>
    <cellStyle name="Title 62" xfId="27169" xr:uid="{00000000-0005-0000-0000-0000736B0000}"/>
    <cellStyle name="Title 62 2" xfId="27170" xr:uid="{00000000-0005-0000-0000-0000746B0000}"/>
    <cellStyle name="Title 62 3" xfId="27171" xr:uid="{00000000-0005-0000-0000-0000756B0000}"/>
    <cellStyle name="Title 62 4" xfId="27172" xr:uid="{00000000-0005-0000-0000-0000766B0000}"/>
    <cellStyle name="Title 62 5" xfId="27173" xr:uid="{00000000-0005-0000-0000-0000776B0000}"/>
    <cellStyle name="Title 62 6" xfId="27174" xr:uid="{00000000-0005-0000-0000-0000786B0000}"/>
    <cellStyle name="Title 62 7" xfId="27175" xr:uid="{00000000-0005-0000-0000-0000796B0000}"/>
    <cellStyle name="Title 62 8" xfId="27176" xr:uid="{00000000-0005-0000-0000-00007A6B0000}"/>
    <cellStyle name="Title 62 9" xfId="27177" xr:uid="{00000000-0005-0000-0000-00007B6B0000}"/>
    <cellStyle name="Title 63" xfId="27178" xr:uid="{00000000-0005-0000-0000-00007C6B0000}"/>
    <cellStyle name="Title 63 2" xfId="27179" xr:uid="{00000000-0005-0000-0000-00007D6B0000}"/>
    <cellStyle name="Title 63 3" xfId="27180" xr:uid="{00000000-0005-0000-0000-00007E6B0000}"/>
    <cellStyle name="Title 63 4" xfId="27181" xr:uid="{00000000-0005-0000-0000-00007F6B0000}"/>
    <cellStyle name="Title 63 5" xfId="27182" xr:uid="{00000000-0005-0000-0000-0000806B0000}"/>
    <cellStyle name="Title 63 6" xfId="27183" xr:uid="{00000000-0005-0000-0000-0000816B0000}"/>
    <cellStyle name="Title 63 7" xfId="27184" xr:uid="{00000000-0005-0000-0000-0000826B0000}"/>
    <cellStyle name="Title 63 8" xfId="27185" xr:uid="{00000000-0005-0000-0000-0000836B0000}"/>
    <cellStyle name="Title 63 9" xfId="27186" xr:uid="{00000000-0005-0000-0000-0000846B0000}"/>
    <cellStyle name="Title 64" xfId="27187" xr:uid="{00000000-0005-0000-0000-0000856B0000}"/>
    <cellStyle name="Title 64 2" xfId="27188" xr:uid="{00000000-0005-0000-0000-0000866B0000}"/>
    <cellStyle name="Title 64 3" xfId="27189" xr:uid="{00000000-0005-0000-0000-0000876B0000}"/>
    <cellStyle name="Title 64 4" xfId="27190" xr:uid="{00000000-0005-0000-0000-0000886B0000}"/>
    <cellStyle name="Title 64 5" xfId="27191" xr:uid="{00000000-0005-0000-0000-0000896B0000}"/>
    <cellStyle name="Title 64 6" xfId="27192" xr:uid="{00000000-0005-0000-0000-00008A6B0000}"/>
    <cellStyle name="Title 64 7" xfId="27193" xr:uid="{00000000-0005-0000-0000-00008B6B0000}"/>
    <cellStyle name="Title 64 8" xfId="27194" xr:uid="{00000000-0005-0000-0000-00008C6B0000}"/>
    <cellStyle name="Title 64 9" xfId="27195" xr:uid="{00000000-0005-0000-0000-00008D6B0000}"/>
    <cellStyle name="Title 65" xfId="27196" xr:uid="{00000000-0005-0000-0000-00008E6B0000}"/>
    <cellStyle name="Title 65 2" xfId="27197" xr:uid="{00000000-0005-0000-0000-00008F6B0000}"/>
    <cellStyle name="Title 65 3" xfId="27198" xr:uid="{00000000-0005-0000-0000-0000906B0000}"/>
    <cellStyle name="Title 65 4" xfId="27199" xr:uid="{00000000-0005-0000-0000-0000916B0000}"/>
    <cellStyle name="Title 65 5" xfId="27200" xr:uid="{00000000-0005-0000-0000-0000926B0000}"/>
    <cellStyle name="Title 65 6" xfId="27201" xr:uid="{00000000-0005-0000-0000-0000936B0000}"/>
    <cellStyle name="Title 65 7" xfId="27202" xr:uid="{00000000-0005-0000-0000-0000946B0000}"/>
    <cellStyle name="Title 65 8" xfId="27203" xr:uid="{00000000-0005-0000-0000-0000956B0000}"/>
    <cellStyle name="Title 65 9" xfId="27204" xr:uid="{00000000-0005-0000-0000-0000966B0000}"/>
    <cellStyle name="Title 66" xfId="27205" xr:uid="{00000000-0005-0000-0000-0000976B0000}"/>
    <cellStyle name="Title 66 2" xfId="27206" xr:uid="{00000000-0005-0000-0000-0000986B0000}"/>
    <cellStyle name="Title 66 3" xfId="27207" xr:uid="{00000000-0005-0000-0000-0000996B0000}"/>
    <cellStyle name="Title 66 4" xfId="27208" xr:uid="{00000000-0005-0000-0000-00009A6B0000}"/>
    <cellStyle name="Title 66 5" xfId="27209" xr:uid="{00000000-0005-0000-0000-00009B6B0000}"/>
    <cellStyle name="Title 66 6" xfId="27210" xr:uid="{00000000-0005-0000-0000-00009C6B0000}"/>
    <cellStyle name="Title 66 7" xfId="27211" xr:uid="{00000000-0005-0000-0000-00009D6B0000}"/>
    <cellStyle name="Title 66 8" xfId="27212" xr:uid="{00000000-0005-0000-0000-00009E6B0000}"/>
    <cellStyle name="Title 66 9" xfId="27213" xr:uid="{00000000-0005-0000-0000-00009F6B0000}"/>
    <cellStyle name="Title 67" xfId="27214" xr:uid="{00000000-0005-0000-0000-0000A06B0000}"/>
    <cellStyle name="Title 67 2" xfId="27215" xr:uid="{00000000-0005-0000-0000-0000A16B0000}"/>
    <cellStyle name="Title 67 3" xfId="27216" xr:uid="{00000000-0005-0000-0000-0000A26B0000}"/>
    <cellStyle name="Title 67 4" xfId="27217" xr:uid="{00000000-0005-0000-0000-0000A36B0000}"/>
    <cellStyle name="Title 67 5" xfId="27218" xr:uid="{00000000-0005-0000-0000-0000A46B0000}"/>
    <cellStyle name="Title 67 6" xfId="27219" xr:uid="{00000000-0005-0000-0000-0000A56B0000}"/>
    <cellStyle name="Title 67 7" xfId="27220" xr:uid="{00000000-0005-0000-0000-0000A66B0000}"/>
    <cellStyle name="Title 67 8" xfId="27221" xr:uid="{00000000-0005-0000-0000-0000A76B0000}"/>
    <cellStyle name="Title 67 9" xfId="27222" xr:uid="{00000000-0005-0000-0000-0000A86B0000}"/>
    <cellStyle name="Title 68" xfId="27223" xr:uid="{00000000-0005-0000-0000-0000A96B0000}"/>
    <cellStyle name="Title 68 2" xfId="27224" xr:uid="{00000000-0005-0000-0000-0000AA6B0000}"/>
    <cellStyle name="Title 68 3" xfId="27225" xr:uid="{00000000-0005-0000-0000-0000AB6B0000}"/>
    <cellStyle name="Title 68 4" xfId="27226" xr:uid="{00000000-0005-0000-0000-0000AC6B0000}"/>
    <cellStyle name="Title 68 5" xfId="27227" xr:uid="{00000000-0005-0000-0000-0000AD6B0000}"/>
    <cellStyle name="Title 68 6" xfId="27228" xr:uid="{00000000-0005-0000-0000-0000AE6B0000}"/>
    <cellStyle name="Title 68 7" xfId="27229" xr:uid="{00000000-0005-0000-0000-0000AF6B0000}"/>
    <cellStyle name="Title 68 8" xfId="27230" xr:uid="{00000000-0005-0000-0000-0000B06B0000}"/>
    <cellStyle name="Title 68 9" xfId="27231" xr:uid="{00000000-0005-0000-0000-0000B16B0000}"/>
    <cellStyle name="Title 69" xfId="27232" xr:uid="{00000000-0005-0000-0000-0000B26B0000}"/>
    <cellStyle name="Title 69 2" xfId="27233" xr:uid="{00000000-0005-0000-0000-0000B36B0000}"/>
    <cellStyle name="Title 69 3" xfId="27234" xr:uid="{00000000-0005-0000-0000-0000B46B0000}"/>
    <cellStyle name="Title 69 4" xfId="27235" xr:uid="{00000000-0005-0000-0000-0000B56B0000}"/>
    <cellStyle name="Title 69 5" xfId="27236" xr:uid="{00000000-0005-0000-0000-0000B66B0000}"/>
    <cellStyle name="Title 69 6" xfId="27237" xr:uid="{00000000-0005-0000-0000-0000B76B0000}"/>
    <cellStyle name="Title 69 7" xfId="27238" xr:uid="{00000000-0005-0000-0000-0000B86B0000}"/>
    <cellStyle name="Title 69 8" xfId="27239" xr:uid="{00000000-0005-0000-0000-0000B96B0000}"/>
    <cellStyle name="Title 69 9" xfId="27240" xr:uid="{00000000-0005-0000-0000-0000BA6B0000}"/>
    <cellStyle name="Title 7" xfId="27241" xr:uid="{00000000-0005-0000-0000-0000BB6B0000}"/>
    <cellStyle name="Title 7 10" xfId="27242" xr:uid="{00000000-0005-0000-0000-0000BC6B0000}"/>
    <cellStyle name="Title 7 11" xfId="27243" xr:uid="{00000000-0005-0000-0000-0000BD6B0000}"/>
    <cellStyle name="Title 7 12" xfId="27244" xr:uid="{00000000-0005-0000-0000-0000BE6B0000}"/>
    <cellStyle name="Title 7 13" xfId="27245" xr:uid="{00000000-0005-0000-0000-0000BF6B0000}"/>
    <cellStyle name="Title 7 14" xfId="27246" xr:uid="{00000000-0005-0000-0000-0000C06B0000}"/>
    <cellStyle name="Title 7 15" xfId="27247" xr:uid="{00000000-0005-0000-0000-0000C16B0000}"/>
    <cellStyle name="Title 7 2" xfId="27248" xr:uid="{00000000-0005-0000-0000-0000C26B0000}"/>
    <cellStyle name="Title 7 2 2" xfId="27249" xr:uid="{00000000-0005-0000-0000-0000C36B0000}"/>
    <cellStyle name="Title 7 2 2 2" xfId="27250" xr:uid="{00000000-0005-0000-0000-0000C46B0000}"/>
    <cellStyle name="Title 7 2 2 3" xfId="27251" xr:uid="{00000000-0005-0000-0000-0000C56B0000}"/>
    <cellStyle name="Title 7 2 2 4" xfId="27252" xr:uid="{00000000-0005-0000-0000-0000C66B0000}"/>
    <cellStyle name="Title 7 2 2 5" xfId="27253" xr:uid="{00000000-0005-0000-0000-0000C76B0000}"/>
    <cellStyle name="Title 7 2 2 6" xfId="27254" xr:uid="{00000000-0005-0000-0000-0000C86B0000}"/>
    <cellStyle name="Title 7 2 2 7" xfId="27255" xr:uid="{00000000-0005-0000-0000-0000C96B0000}"/>
    <cellStyle name="Title 7 2 3" xfId="27256" xr:uid="{00000000-0005-0000-0000-0000CA6B0000}"/>
    <cellStyle name="Title 7 2 4" xfId="27257" xr:uid="{00000000-0005-0000-0000-0000CB6B0000}"/>
    <cellStyle name="Title 7 2 5" xfId="27258" xr:uid="{00000000-0005-0000-0000-0000CC6B0000}"/>
    <cellStyle name="Title 7 2 6" xfId="27259" xr:uid="{00000000-0005-0000-0000-0000CD6B0000}"/>
    <cellStyle name="Title 7 2 7" xfId="27260" xr:uid="{00000000-0005-0000-0000-0000CE6B0000}"/>
    <cellStyle name="Title 7 3" xfId="27261" xr:uid="{00000000-0005-0000-0000-0000CF6B0000}"/>
    <cellStyle name="Title 7 3 2" xfId="27262" xr:uid="{00000000-0005-0000-0000-0000D06B0000}"/>
    <cellStyle name="Title 7 3 2 2" xfId="27263" xr:uid="{00000000-0005-0000-0000-0000D16B0000}"/>
    <cellStyle name="Title 7 3 2 3" xfId="27264" xr:uid="{00000000-0005-0000-0000-0000D26B0000}"/>
    <cellStyle name="Title 7 3 2 4" xfId="27265" xr:uid="{00000000-0005-0000-0000-0000D36B0000}"/>
    <cellStyle name="Title 7 3 2 5" xfId="27266" xr:uid="{00000000-0005-0000-0000-0000D46B0000}"/>
    <cellStyle name="Title 7 3 2 6" xfId="27267" xr:uid="{00000000-0005-0000-0000-0000D56B0000}"/>
    <cellStyle name="Title 7 3 2 7" xfId="27268" xr:uid="{00000000-0005-0000-0000-0000D66B0000}"/>
    <cellStyle name="Title 7 3 3" xfId="27269" xr:uid="{00000000-0005-0000-0000-0000D76B0000}"/>
    <cellStyle name="Title 7 3 4" xfId="27270" xr:uid="{00000000-0005-0000-0000-0000D86B0000}"/>
    <cellStyle name="Title 7 3 5" xfId="27271" xr:uid="{00000000-0005-0000-0000-0000D96B0000}"/>
    <cellStyle name="Title 7 3 6" xfId="27272" xr:uid="{00000000-0005-0000-0000-0000DA6B0000}"/>
    <cellStyle name="Title 7 3 7" xfId="27273" xr:uid="{00000000-0005-0000-0000-0000DB6B0000}"/>
    <cellStyle name="Title 7 4" xfId="27274" xr:uid="{00000000-0005-0000-0000-0000DC6B0000}"/>
    <cellStyle name="Title 7 4 2" xfId="27275" xr:uid="{00000000-0005-0000-0000-0000DD6B0000}"/>
    <cellStyle name="Title 7 4 2 2" xfId="27276" xr:uid="{00000000-0005-0000-0000-0000DE6B0000}"/>
    <cellStyle name="Title 7 4 2 3" xfId="27277" xr:uid="{00000000-0005-0000-0000-0000DF6B0000}"/>
    <cellStyle name="Title 7 4 2 4" xfId="27278" xr:uid="{00000000-0005-0000-0000-0000E06B0000}"/>
    <cellStyle name="Title 7 4 2 5" xfId="27279" xr:uid="{00000000-0005-0000-0000-0000E16B0000}"/>
    <cellStyle name="Title 7 4 2 6" xfId="27280" xr:uid="{00000000-0005-0000-0000-0000E26B0000}"/>
    <cellStyle name="Title 7 4 2 7" xfId="27281" xr:uid="{00000000-0005-0000-0000-0000E36B0000}"/>
    <cellStyle name="Title 7 4 3" xfId="27282" xr:uid="{00000000-0005-0000-0000-0000E46B0000}"/>
    <cellStyle name="Title 7 4 4" xfId="27283" xr:uid="{00000000-0005-0000-0000-0000E56B0000}"/>
    <cellStyle name="Title 7 4 5" xfId="27284" xr:uid="{00000000-0005-0000-0000-0000E66B0000}"/>
    <cellStyle name="Title 7 4 6" xfId="27285" xr:uid="{00000000-0005-0000-0000-0000E76B0000}"/>
    <cellStyle name="Title 7 4 7" xfId="27286" xr:uid="{00000000-0005-0000-0000-0000E86B0000}"/>
    <cellStyle name="Title 7 5" xfId="27287" xr:uid="{00000000-0005-0000-0000-0000E96B0000}"/>
    <cellStyle name="Title 7 5 2" xfId="27288" xr:uid="{00000000-0005-0000-0000-0000EA6B0000}"/>
    <cellStyle name="Title 7 5 2 2" xfId="27289" xr:uid="{00000000-0005-0000-0000-0000EB6B0000}"/>
    <cellStyle name="Title 7 5 2 3" xfId="27290" xr:uid="{00000000-0005-0000-0000-0000EC6B0000}"/>
    <cellStyle name="Title 7 5 2 4" xfId="27291" xr:uid="{00000000-0005-0000-0000-0000ED6B0000}"/>
    <cellStyle name="Title 7 5 2 5" xfId="27292" xr:uid="{00000000-0005-0000-0000-0000EE6B0000}"/>
    <cellStyle name="Title 7 5 2 6" xfId="27293" xr:uid="{00000000-0005-0000-0000-0000EF6B0000}"/>
    <cellStyle name="Title 7 5 2 7" xfId="27294" xr:uid="{00000000-0005-0000-0000-0000F06B0000}"/>
    <cellStyle name="Title 7 5 3" xfId="27295" xr:uid="{00000000-0005-0000-0000-0000F16B0000}"/>
    <cellStyle name="Title 7 5 4" xfId="27296" xr:uid="{00000000-0005-0000-0000-0000F26B0000}"/>
    <cellStyle name="Title 7 5 5" xfId="27297" xr:uid="{00000000-0005-0000-0000-0000F36B0000}"/>
    <cellStyle name="Title 7 5 6" xfId="27298" xr:uid="{00000000-0005-0000-0000-0000F46B0000}"/>
    <cellStyle name="Title 7 5 7" xfId="27299" xr:uid="{00000000-0005-0000-0000-0000F56B0000}"/>
    <cellStyle name="Title 7 6" xfId="27300" xr:uid="{00000000-0005-0000-0000-0000F66B0000}"/>
    <cellStyle name="Title 7 6 2" xfId="27301" xr:uid="{00000000-0005-0000-0000-0000F76B0000}"/>
    <cellStyle name="Title 7 6 2 2" xfId="27302" xr:uid="{00000000-0005-0000-0000-0000F86B0000}"/>
    <cellStyle name="Title 7 6 2 3" xfId="27303" xr:uid="{00000000-0005-0000-0000-0000F96B0000}"/>
    <cellStyle name="Title 7 6 2 4" xfId="27304" xr:uid="{00000000-0005-0000-0000-0000FA6B0000}"/>
    <cellStyle name="Title 7 6 2 5" xfId="27305" xr:uid="{00000000-0005-0000-0000-0000FB6B0000}"/>
    <cellStyle name="Title 7 6 2 6" xfId="27306" xr:uid="{00000000-0005-0000-0000-0000FC6B0000}"/>
    <cellStyle name="Title 7 6 2 7" xfId="27307" xr:uid="{00000000-0005-0000-0000-0000FD6B0000}"/>
    <cellStyle name="Title 7 6 3" xfId="27308" xr:uid="{00000000-0005-0000-0000-0000FE6B0000}"/>
    <cellStyle name="Title 7 6 4" xfId="27309" xr:uid="{00000000-0005-0000-0000-0000FF6B0000}"/>
    <cellStyle name="Title 7 6 5" xfId="27310" xr:uid="{00000000-0005-0000-0000-0000006C0000}"/>
    <cellStyle name="Title 7 6 6" xfId="27311" xr:uid="{00000000-0005-0000-0000-0000016C0000}"/>
    <cellStyle name="Title 7 6 7" xfId="27312" xr:uid="{00000000-0005-0000-0000-0000026C0000}"/>
    <cellStyle name="Title 7 7" xfId="27313" xr:uid="{00000000-0005-0000-0000-0000036C0000}"/>
    <cellStyle name="Title 7 7 2" xfId="27314" xr:uid="{00000000-0005-0000-0000-0000046C0000}"/>
    <cellStyle name="Title 7 7 2 2" xfId="27315" xr:uid="{00000000-0005-0000-0000-0000056C0000}"/>
    <cellStyle name="Title 7 7 2 3" xfId="27316" xr:uid="{00000000-0005-0000-0000-0000066C0000}"/>
    <cellStyle name="Title 7 7 2 4" xfId="27317" xr:uid="{00000000-0005-0000-0000-0000076C0000}"/>
    <cellStyle name="Title 7 7 2 5" xfId="27318" xr:uid="{00000000-0005-0000-0000-0000086C0000}"/>
    <cellStyle name="Title 7 7 2 6" xfId="27319" xr:uid="{00000000-0005-0000-0000-0000096C0000}"/>
    <cellStyle name="Title 7 7 2 7" xfId="27320" xr:uid="{00000000-0005-0000-0000-00000A6C0000}"/>
    <cellStyle name="Title 7 7 3" xfId="27321" xr:uid="{00000000-0005-0000-0000-00000B6C0000}"/>
    <cellStyle name="Title 7 7 4" xfId="27322" xr:uid="{00000000-0005-0000-0000-00000C6C0000}"/>
    <cellStyle name="Title 7 7 5" xfId="27323" xr:uid="{00000000-0005-0000-0000-00000D6C0000}"/>
    <cellStyle name="Title 7 7 6" xfId="27324" xr:uid="{00000000-0005-0000-0000-00000E6C0000}"/>
    <cellStyle name="Title 7 7 7" xfId="27325" xr:uid="{00000000-0005-0000-0000-00000F6C0000}"/>
    <cellStyle name="Title 7 8" xfId="27326" xr:uid="{00000000-0005-0000-0000-0000106C0000}"/>
    <cellStyle name="Title 7 8 2" xfId="27327" xr:uid="{00000000-0005-0000-0000-0000116C0000}"/>
    <cellStyle name="Title 7 8 3" xfId="27328" xr:uid="{00000000-0005-0000-0000-0000126C0000}"/>
    <cellStyle name="Title 7 8 4" xfId="27329" xr:uid="{00000000-0005-0000-0000-0000136C0000}"/>
    <cellStyle name="Title 7 8 5" xfId="27330" xr:uid="{00000000-0005-0000-0000-0000146C0000}"/>
    <cellStyle name="Title 7 8 6" xfId="27331" xr:uid="{00000000-0005-0000-0000-0000156C0000}"/>
    <cellStyle name="Title 7 8 7" xfId="27332" xr:uid="{00000000-0005-0000-0000-0000166C0000}"/>
    <cellStyle name="Title 7 9" xfId="27333" xr:uid="{00000000-0005-0000-0000-0000176C0000}"/>
    <cellStyle name="Title 70" xfId="27334" xr:uid="{00000000-0005-0000-0000-0000186C0000}"/>
    <cellStyle name="Title 70 2" xfId="27335" xr:uid="{00000000-0005-0000-0000-0000196C0000}"/>
    <cellStyle name="Title 70 3" xfId="27336" xr:uid="{00000000-0005-0000-0000-00001A6C0000}"/>
    <cellStyle name="Title 70 4" xfId="27337" xr:uid="{00000000-0005-0000-0000-00001B6C0000}"/>
    <cellStyle name="Title 70 5" xfId="27338" xr:uid="{00000000-0005-0000-0000-00001C6C0000}"/>
    <cellStyle name="Title 70 6" xfId="27339" xr:uid="{00000000-0005-0000-0000-00001D6C0000}"/>
    <cellStyle name="Title 70 7" xfId="27340" xr:uid="{00000000-0005-0000-0000-00001E6C0000}"/>
    <cellStyle name="Title 70 8" xfId="27341" xr:uid="{00000000-0005-0000-0000-00001F6C0000}"/>
    <cellStyle name="Title 70 9" xfId="27342" xr:uid="{00000000-0005-0000-0000-0000206C0000}"/>
    <cellStyle name="Title 71" xfId="27343" xr:uid="{00000000-0005-0000-0000-0000216C0000}"/>
    <cellStyle name="Title 71 2" xfId="27344" xr:uid="{00000000-0005-0000-0000-0000226C0000}"/>
    <cellStyle name="Title 71 3" xfId="27345" xr:uid="{00000000-0005-0000-0000-0000236C0000}"/>
    <cellStyle name="Title 71 4" xfId="27346" xr:uid="{00000000-0005-0000-0000-0000246C0000}"/>
    <cellStyle name="Title 71 5" xfId="27347" xr:uid="{00000000-0005-0000-0000-0000256C0000}"/>
    <cellStyle name="Title 71 6" xfId="27348" xr:uid="{00000000-0005-0000-0000-0000266C0000}"/>
    <cellStyle name="Title 71 7" xfId="27349" xr:uid="{00000000-0005-0000-0000-0000276C0000}"/>
    <cellStyle name="Title 71 8" xfId="27350" xr:uid="{00000000-0005-0000-0000-0000286C0000}"/>
    <cellStyle name="Title 71 9" xfId="27351" xr:uid="{00000000-0005-0000-0000-0000296C0000}"/>
    <cellStyle name="Title 72" xfId="27352" xr:uid="{00000000-0005-0000-0000-00002A6C0000}"/>
    <cellStyle name="Title 8" xfId="27353" xr:uid="{00000000-0005-0000-0000-00002B6C0000}"/>
    <cellStyle name="Title 8 10" xfId="27354" xr:uid="{00000000-0005-0000-0000-00002C6C0000}"/>
    <cellStyle name="Title 8 11" xfId="27355" xr:uid="{00000000-0005-0000-0000-00002D6C0000}"/>
    <cellStyle name="Title 8 12" xfId="27356" xr:uid="{00000000-0005-0000-0000-00002E6C0000}"/>
    <cellStyle name="Title 8 13" xfId="27357" xr:uid="{00000000-0005-0000-0000-00002F6C0000}"/>
    <cellStyle name="Title 8 14" xfId="27358" xr:uid="{00000000-0005-0000-0000-0000306C0000}"/>
    <cellStyle name="Title 8 15" xfId="27359" xr:uid="{00000000-0005-0000-0000-0000316C0000}"/>
    <cellStyle name="Title 8 2" xfId="27360" xr:uid="{00000000-0005-0000-0000-0000326C0000}"/>
    <cellStyle name="Title 8 2 2" xfId="27361" xr:uid="{00000000-0005-0000-0000-0000336C0000}"/>
    <cellStyle name="Title 8 2 2 2" xfId="27362" xr:uid="{00000000-0005-0000-0000-0000346C0000}"/>
    <cellStyle name="Title 8 2 2 3" xfId="27363" xr:uid="{00000000-0005-0000-0000-0000356C0000}"/>
    <cellStyle name="Title 8 2 2 4" xfId="27364" xr:uid="{00000000-0005-0000-0000-0000366C0000}"/>
    <cellStyle name="Title 8 2 2 5" xfId="27365" xr:uid="{00000000-0005-0000-0000-0000376C0000}"/>
    <cellStyle name="Title 8 2 2 6" xfId="27366" xr:uid="{00000000-0005-0000-0000-0000386C0000}"/>
    <cellStyle name="Title 8 2 2 7" xfId="27367" xr:uid="{00000000-0005-0000-0000-0000396C0000}"/>
    <cellStyle name="Title 8 2 3" xfId="27368" xr:uid="{00000000-0005-0000-0000-00003A6C0000}"/>
    <cellStyle name="Title 8 2 4" xfId="27369" xr:uid="{00000000-0005-0000-0000-00003B6C0000}"/>
    <cellStyle name="Title 8 2 5" xfId="27370" xr:uid="{00000000-0005-0000-0000-00003C6C0000}"/>
    <cellStyle name="Title 8 2 6" xfId="27371" xr:uid="{00000000-0005-0000-0000-00003D6C0000}"/>
    <cellStyle name="Title 8 2 7" xfId="27372" xr:uid="{00000000-0005-0000-0000-00003E6C0000}"/>
    <cellStyle name="Title 8 3" xfId="27373" xr:uid="{00000000-0005-0000-0000-00003F6C0000}"/>
    <cellStyle name="Title 8 3 2" xfId="27374" xr:uid="{00000000-0005-0000-0000-0000406C0000}"/>
    <cellStyle name="Title 8 3 2 2" xfId="27375" xr:uid="{00000000-0005-0000-0000-0000416C0000}"/>
    <cellStyle name="Title 8 3 2 3" xfId="27376" xr:uid="{00000000-0005-0000-0000-0000426C0000}"/>
    <cellStyle name="Title 8 3 2 4" xfId="27377" xr:uid="{00000000-0005-0000-0000-0000436C0000}"/>
    <cellStyle name="Title 8 3 2 5" xfId="27378" xr:uid="{00000000-0005-0000-0000-0000446C0000}"/>
    <cellStyle name="Title 8 3 2 6" xfId="27379" xr:uid="{00000000-0005-0000-0000-0000456C0000}"/>
    <cellStyle name="Title 8 3 2 7" xfId="27380" xr:uid="{00000000-0005-0000-0000-0000466C0000}"/>
    <cellStyle name="Title 8 3 3" xfId="27381" xr:uid="{00000000-0005-0000-0000-0000476C0000}"/>
    <cellStyle name="Title 8 3 4" xfId="27382" xr:uid="{00000000-0005-0000-0000-0000486C0000}"/>
    <cellStyle name="Title 8 3 5" xfId="27383" xr:uid="{00000000-0005-0000-0000-0000496C0000}"/>
    <cellStyle name="Title 8 3 6" xfId="27384" xr:uid="{00000000-0005-0000-0000-00004A6C0000}"/>
    <cellStyle name="Title 8 3 7" xfId="27385" xr:uid="{00000000-0005-0000-0000-00004B6C0000}"/>
    <cellStyle name="Title 8 4" xfId="27386" xr:uid="{00000000-0005-0000-0000-00004C6C0000}"/>
    <cellStyle name="Title 8 4 2" xfId="27387" xr:uid="{00000000-0005-0000-0000-00004D6C0000}"/>
    <cellStyle name="Title 8 4 2 2" xfId="27388" xr:uid="{00000000-0005-0000-0000-00004E6C0000}"/>
    <cellStyle name="Title 8 4 2 3" xfId="27389" xr:uid="{00000000-0005-0000-0000-00004F6C0000}"/>
    <cellStyle name="Title 8 4 2 4" xfId="27390" xr:uid="{00000000-0005-0000-0000-0000506C0000}"/>
    <cellStyle name="Title 8 4 2 5" xfId="27391" xr:uid="{00000000-0005-0000-0000-0000516C0000}"/>
    <cellStyle name="Title 8 4 2 6" xfId="27392" xr:uid="{00000000-0005-0000-0000-0000526C0000}"/>
    <cellStyle name="Title 8 4 2 7" xfId="27393" xr:uid="{00000000-0005-0000-0000-0000536C0000}"/>
    <cellStyle name="Title 8 4 3" xfId="27394" xr:uid="{00000000-0005-0000-0000-0000546C0000}"/>
    <cellStyle name="Title 8 4 4" xfId="27395" xr:uid="{00000000-0005-0000-0000-0000556C0000}"/>
    <cellStyle name="Title 8 4 5" xfId="27396" xr:uid="{00000000-0005-0000-0000-0000566C0000}"/>
    <cellStyle name="Title 8 4 6" xfId="27397" xr:uid="{00000000-0005-0000-0000-0000576C0000}"/>
    <cellStyle name="Title 8 4 7" xfId="27398" xr:uid="{00000000-0005-0000-0000-0000586C0000}"/>
    <cellStyle name="Title 8 5" xfId="27399" xr:uid="{00000000-0005-0000-0000-0000596C0000}"/>
    <cellStyle name="Title 8 5 2" xfId="27400" xr:uid="{00000000-0005-0000-0000-00005A6C0000}"/>
    <cellStyle name="Title 8 5 2 2" xfId="27401" xr:uid="{00000000-0005-0000-0000-00005B6C0000}"/>
    <cellStyle name="Title 8 5 2 3" xfId="27402" xr:uid="{00000000-0005-0000-0000-00005C6C0000}"/>
    <cellStyle name="Title 8 5 2 4" xfId="27403" xr:uid="{00000000-0005-0000-0000-00005D6C0000}"/>
    <cellStyle name="Title 8 5 2 5" xfId="27404" xr:uid="{00000000-0005-0000-0000-00005E6C0000}"/>
    <cellStyle name="Title 8 5 2 6" xfId="27405" xr:uid="{00000000-0005-0000-0000-00005F6C0000}"/>
    <cellStyle name="Title 8 5 2 7" xfId="27406" xr:uid="{00000000-0005-0000-0000-0000606C0000}"/>
    <cellStyle name="Title 8 5 3" xfId="27407" xr:uid="{00000000-0005-0000-0000-0000616C0000}"/>
    <cellStyle name="Title 8 5 4" xfId="27408" xr:uid="{00000000-0005-0000-0000-0000626C0000}"/>
    <cellStyle name="Title 8 5 5" xfId="27409" xr:uid="{00000000-0005-0000-0000-0000636C0000}"/>
    <cellStyle name="Title 8 5 6" xfId="27410" xr:uid="{00000000-0005-0000-0000-0000646C0000}"/>
    <cellStyle name="Title 8 5 7" xfId="27411" xr:uid="{00000000-0005-0000-0000-0000656C0000}"/>
    <cellStyle name="Title 8 6" xfId="27412" xr:uid="{00000000-0005-0000-0000-0000666C0000}"/>
    <cellStyle name="Title 8 6 2" xfId="27413" xr:uid="{00000000-0005-0000-0000-0000676C0000}"/>
    <cellStyle name="Title 8 6 2 2" xfId="27414" xr:uid="{00000000-0005-0000-0000-0000686C0000}"/>
    <cellStyle name="Title 8 6 2 3" xfId="27415" xr:uid="{00000000-0005-0000-0000-0000696C0000}"/>
    <cellStyle name="Title 8 6 2 4" xfId="27416" xr:uid="{00000000-0005-0000-0000-00006A6C0000}"/>
    <cellStyle name="Title 8 6 2 5" xfId="27417" xr:uid="{00000000-0005-0000-0000-00006B6C0000}"/>
    <cellStyle name="Title 8 6 2 6" xfId="27418" xr:uid="{00000000-0005-0000-0000-00006C6C0000}"/>
    <cellStyle name="Title 8 6 2 7" xfId="27419" xr:uid="{00000000-0005-0000-0000-00006D6C0000}"/>
    <cellStyle name="Title 8 6 3" xfId="27420" xr:uid="{00000000-0005-0000-0000-00006E6C0000}"/>
    <cellStyle name="Title 8 6 4" xfId="27421" xr:uid="{00000000-0005-0000-0000-00006F6C0000}"/>
    <cellStyle name="Title 8 6 5" xfId="27422" xr:uid="{00000000-0005-0000-0000-0000706C0000}"/>
    <cellStyle name="Title 8 6 6" xfId="27423" xr:uid="{00000000-0005-0000-0000-0000716C0000}"/>
    <cellStyle name="Title 8 6 7" xfId="27424" xr:uid="{00000000-0005-0000-0000-0000726C0000}"/>
    <cellStyle name="Title 8 7" xfId="27425" xr:uid="{00000000-0005-0000-0000-0000736C0000}"/>
    <cellStyle name="Title 8 7 2" xfId="27426" xr:uid="{00000000-0005-0000-0000-0000746C0000}"/>
    <cellStyle name="Title 8 7 2 2" xfId="27427" xr:uid="{00000000-0005-0000-0000-0000756C0000}"/>
    <cellStyle name="Title 8 7 2 3" xfId="27428" xr:uid="{00000000-0005-0000-0000-0000766C0000}"/>
    <cellStyle name="Title 8 7 2 4" xfId="27429" xr:uid="{00000000-0005-0000-0000-0000776C0000}"/>
    <cellStyle name="Title 8 7 2 5" xfId="27430" xr:uid="{00000000-0005-0000-0000-0000786C0000}"/>
    <cellStyle name="Title 8 7 2 6" xfId="27431" xr:uid="{00000000-0005-0000-0000-0000796C0000}"/>
    <cellStyle name="Title 8 7 2 7" xfId="27432" xr:uid="{00000000-0005-0000-0000-00007A6C0000}"/>
    <cellStyle name="Title 8 7 3" xfId="27433" xr:uid="{00000000-0005-0000-0000-00007B6C0000}"/>
    <cellStyle name="Title 8 7 4" xfId="27434" xr:uid="{00000000-0005-0000-0000-00007C6C0000}"/>
    <cellStyle name="Title 8 7 5" xfId="27435" xr:uid="{00000000-0005-0000-0000-00007D6C0000}"/>
    <cellStyle name="Title 8 7 6" xfId="27436" xr:uid="{00000000-0005-0000-0000-00007E6C0000}"/>
    <cellStyle name="Title 8 7 7" xfId="27437" xr:uid="{00000000-0005-0000-0000-00007F6C0000}"/>
    <cellStyle name="Title 8 8" xfId="27438" xr:uid="{00000000-0005-0000-0000-0000806C0000}"/>
    <cellStyle name="Title 8 8 2" xfId="27439" xr:uid="{00000000-0005-0000-0000-0000816C0000}"/>
    <cellStyle name="Title 8 8 3" xfId="27440" xr:uid="{00000000-0005-0000-0000-0000826C0000}"/>
    <cellStyle name="Title 8 8 4" xfId="27441" xr:uid="{00000000-0005-0000-0000-0000836C0000}"/>
    <cellStyle name="Title 8 8 5" xfId="27442" xr:uid="{00000000-0005-0000-0000-0000846C0000}"/>
    <cellStyle name="Title 8 8 6" xfId="27443" xr:uid="{00000000-0005-0000-0000-0000856C0000}"/>
    <cellStyle name="Title 8 8 7" xfId="27444" xr:uid="{00000000-0005-0000-0000-0000866C0000}"/>
    <cellStyle name="Title 8 9" xfId="27445" xr:uid="{00000000-0005-0000-0000-0000876C0000}"/>
    <cellStyle name="Title 9" xfId="27446" xr:uid="{00000000-0005-0000-0000-0000886C0000}"/>
    <cellStyle name="Title 9 10" xfId="27447" xr:uid="{00000000-0005-0000-0000-0000896C0000}"/>
    <cellStyle name="Title 9 11" xfId="27448" xr:uid="{00000000-0005-0000-0000-00008A6C0000}"/>
    <cellStyle name="Title 9 12" xfId="27449" xr:uid="{00000000-0005-0000-0000-00008B6C0000}"/>
    <cellStyle name="Title 9 13" xfId="27450" xr:uid="{00000000-0005-0000-0000-00008C6C0000}"/>
    <cellStyle name="Title 9 14" xfId="27451" xr:uid="{00000000-0005-0000-0000-00008D6C0000}"/>
    <cellStyle name="Title 9 15" xfId="27452" xr:uid="{00000000-0005-0000-0000-00008E6C0000}"/>
    <cellStyle name="Title 9 2" xfId="27453" xr:uid="{00000000-0005-0000-0000-00008F6C0000}"/>
    <cellStyle name="Title 9 2 2" xfId="27454" xr:uid="{00000000-0005-0000-0000-0000906C0000}"/>
    <cellStyle name="Title 9 2 3" xfId="27455" xr:uid="{00000000-0005-0000-0000-0000916C0000}"/>
    <cellStyle name="Title 9 2 4" xfId="27456" xr:uid="{00000000-0005-0000-0000-0000926C0000}"/>
    <cellStyle name="Title 9 2 5" xfId="27457" xr:uid="{00000000-0005-0000-0000-0000936C0000}"/>
    <cellStyle name="Title 9 2 6" xfId="27458" xr:uid="{00000000-0005-0000-0000-0000946C0000}"/>
    <cellStyle name="Title 9 2 7" xfId="27459" xr:uid="{00000000-0005-0000-0000-0000956C0000}"/>
    <cellStyle name="Title 9 3" xfId="27460" xr:uid="{00000000-0005-0000-0000-0000966C0000}"/>
    <cellStyle name="Title 9 4" xfId="27461" xr:uid="{00000000-0005-0000-0000-0000976C0000}"/>
    <cellStyle name="Title 9 5" xfId="27462" xr:uid="{00000000-0005-0000-0000-0000986C0000}"/>
    <cellStyle name="Title 9 6" xfId="27463" xr:uid="{00000000-0005-0000-0000-0000996C0000}"/>
    <cellStyle name="Title 9 7" xfId="27464" xr:uid="{00000000-0005-0000-0000-00009A6C0000}"/>
    <cellStyle name="Title 9 8" xfId="27465" xr:uid="{00000000-0005-0000-0000-00009B6C0000}"/>
    <cellStyle name="Title 9 9" xfId="27466" xr:uid="{00000000-0005-0000-0000-00009C6C0000}"/>
    <cellStyle name="Total" xfId="30300" builtinId="25" customBuiltin="1"/>
    <cellStyle name="Total (negative)" xfId="40" xr:uid="{00000000-0005-0000-0000-00009E6C0000}"/>
    <cellStyle name="Total (negative) 2" xfId="27468" xr:uid="{00000000-0005-0000-0000-00009F6C0000}"/>
    <cellStyle name="Total (negative) 3" xfId="27467" xr:uid="{00000000-0005-0000-0000-0000A06C0000}"/>
    <cellStyle name="Total 10" xfId="111" xr:uid="{00000000-0005-0000-0000-0000A16C0000}"/>
    <cellStyle name="Total 10 10" xfId="27470" xr:uid="{00000000-0005-0000-0000-0000A26C0000}"/>
    <cellStyle name="Total 10 11" xfId="27471" xr:uid="{00000000-0005-0000-0000-0000A36C0000}"/>
    <cellStyle name="Total 10 12" xfId="27472" xr:uid="{00000000-0005-0000-0000-0000A46C0000}"/>
    <cellStyle name="Total 10 13" xfId="27473" xr:uid="{00000000-0005-0000-0000-0000A56C0000}"/>
    <cellStyle name="Total 10 14" xfId="27474" xr:uid="{00000000-0005-0000-0000-0000A66C0000}"/>
    <cellStyle name="Total 10 15" xfId="27475" xr:uid="{00000000-0005-0000-0000-0000A76C0000}"/>
    <cellStyle name="Total 10 16" xfId="27469" xr:uid="{00000000-0005-0000-0000-0000A86C0000}"/>
    <cellStyle name="Total 10 2" xfId="27476" xr:uid="{00000000-0005-0000-0000-0000A96C0000}"/>
    <cellStyle name="Total 10 2 2" xfId="27477" xr:uid="{00000000-0005-0000-0000-0000AA6C0000}"/>
    <cellStyle name="Total 10 2 3" xfId="27478" xr:uid="{00000000-0005-0000-0000-0000AB6C0000}"/>
    <cellStyle name="Total 10 2 4" xfId="27479" xr:uid="{00000000-0005-0000-0000-0000AC6C0000}"/>
    <cellStyle name="Total 10 2 5" xfId="27480" xr:uid="{00000000-0005-0000-0000-0000AD6C0000}"/>
    <cellStyle name="Total 10 2 6" xfId="27481" xr:uid="{00000000-0005-0000-0000-0000AE6C0000}"/>
    <cellStyle name="Total 10 2 7" xfId="27482" xr:uid="{00000000-0005-0000-0000-0000AF6C0000}"/>
    <cellStyle name="Total 10 3" xfId="27483" xr:uid="{00000000-0005-0000-0000-0000B06C0000}"/>
    <cellStyle name="Total 10 4" xfId="27484" xr:uid="{00000000-0005-0000-0000-0000B16C0000}"/>
    <cellStyle name="Total 10 5" xfId="27485" xr:uid="{00000000-0005-0000-0000-0000B26C0000}"/>
    <cellStyle name="Total 10 6" xfId="27486" xr:uid="{00000000-0005-0000-0000-0000B36C0000}"/>
    <cellStyle name="Total 10 7" xfId="27487" xr:uid="{00000000-0005-0000-0000-0000B46C0000}"/>
    <cellStyle name="Total 10 8" xfId="27488" xr:uid="{00000000-0005-0000-0000-0000B56C0000}"/>
    <cellStyle name="Total 10 9" xfId="27489" xr:uid="{00000000-0005-0000-0000-0000B66C0000}"/>
    <cellStyle name="Total 1000" xfId="41" xr:uid="{00000000-0005-0000-0000-0000B76C0000}"/>
    <cellStyle name="Total 1000 (negative)" xfId="42" xr:uid="{00000000-0005-0000-0000-0000B86C0000}"/>
    <cellStyle name="Total 1000 (negative) 2" xfId="27492" xr:uid="{00000000-0005-0000-0000-0000B96C0000}"/>
    <cellStyle name="Total 1000 (negative) 3" xfId="27491" xr:uid="{00000000-0005-0000-0000-0000BA6C0000}"/>
    <cellStyle name="Total 1000 2" xfId="27493" xr:uid="{00000000-0005-0000-0000-0000BB6C0000}"/>
    <cellStyle name="Total 1000 3" xfId="27494" xr:uid="{00000000-0005-0000-0000-0000BC6C0000}"/>
    <cellStyle name="Total 1000 4" xfId="27495" xr:uid="{00000000-0005-0000-0000-0000BD6C0000}"/>
    <cellStyle name="Total 1000 5" xfId="27496" xr:uid="{00000000-0005-0000-0000-0000BE6C0000}"/>
    <cellStyle name="Total 1000 6" xfId="27490" xr:uid="{00000000-0005-0000-0000-0000BF6C0000}"/>
    <cellStyle name="Total 1000_Ársreikningur" xfId="43" xr:uid="{00000000-0005-0000-0000-0000C06C0000}"/>
    <cellStyle name="Total 11" xfId="112" xr:uid="{00000000-0005-0000-0000-0000C16C0000}"/>
    <cellStyle name="Total 11 10" xfId="27498" xr:uid="{00000000-0005-0000-0000-0000C26C0000}"/>
    <cellStyle name="Total 11 11" xfId="27499" xr:uid="{00000000-0005-0000-0000-0000C36C0000}"/>
    <cellStyle name="Total 11 12" xfId="27500" xr:uid="{00000000-0005-0000-0000-0000C46C0000}"/>
    <cellStyle name="Total 11 13" xfId="27501" xr:uid="{00000000-0005-0000-0000-0000C56C0000}"/>
    <cellStyle name="Total 11 14" xfId="27502" xr:uid="{00000000-0005-0000-0000-0000C66C0000}"/>
    <cellStyle name="Total 11 15" xfId="27503" xr:uid="{00000000-0005-0000-0000-0000C76C0000}"/>
    <cellStyle name="Total 11 16" xfId="27497" xr:uid="{00000000-0005-0000-0000-0000C86C0000}"/>
    <cellStyle name="Total 11 2" xfId="27504" xr:uid="{00000000-0005-0000-0000-0000C96C0000}"/>
    <cellStyle name="Total 11 2 2" xfId="27505" xr:uid="{00000000-0005-0000-0000-0000CA6C0000}"/>
    <cellStyle name="Total 11 2 3" xfId="27506" xr:uid="{00000000-0005-0000-0000-0000CB6C0000}"/>
    <cellStyle name="Total 11 2 4" xfId="27507" xr:uid="{00000000-0005-0000-0000-0000CC6C0000}"/>
    <cellStyle name="Total 11 2 5" xfId="27508" xr:uid="{00000000-0005-0000-0000-0000CD6C0000}"/>
    <cellStyle name="Total 11 2 6" xfId="27509" xr:uid="{00000000-0005-0000-0000-0000CE6C0000}"/>
    <cellStyle name="Total 11 2 7" xfId="27510" xr:uid="{00000000-0005-0000-0000-0000CF6C0000}"/>
    <cellStyle name="Total 11 3" xfId="27511" xr:uid="{00000000-0005-0000-0000-0000D06C0000}"/>
    <cellStyle name="Total 11 4" xfId="27512" xr:uid="{00000000-0005-0000-0000-0000D16C0000}"/>
    <cellStyle name="Total 11 5" xfId="27513" xr:uid="{00000000-0005-0000-0000-0000D26C0000}"/>
    <cellStyle name="Total 11 6" xfId="27514" xr:uid="{00000000-0005-0000-0000-0000D36C0000}"/>
    <cellStyle name="Total 11 7" xfId="27515" xr:uid="{00000000-0005-0000-0000-0000D46C0000}"/>
    <cellStyle name="Total 11 8" xfId="27516" xr:uid="{00000000-0005-0000-0000-0000D56C0000}"/>
    <cellStyle name="Total 11 9" xfId="27517" xr:uid="{00000000-0005-0000-0000-0000D66C0000}"/>
    <cellStyle name="Total 12" xfId="113" xr:uid="{00000000-0005-0000-0000-0000D76C0000}"/>
    <cellStyle name="Total 12 10" xfId="27519" xr:uid="{00000000-0005-0000-0000-0000D86C0000}"/>
    <cellStyle name="Total 12 11" xfId="27520" xr:uid="{00000000-0005-0000-0000-0000D96C0000}"/>
    <cellStyle name="Total 12 12" xfId="27521" xr:uid="{00000000-0005-0000-0000-0000DA6C0000}"/>
    <cellStyle name="Total 12 13" xfId="27522" xr:uid="{00000000-0005-0000-0000-0000DB6C0000}"/>
    <cellStyle name="Total 12 14" xfId="27523" xr:uid="{00000000-0005-0000-0000-0000DC6C0000}"/>
    <cellStyle name="Total 12 15" xfId="27524" xr:uid="{00000000-0005-0000-0000-0000DD6C0000}"/>
    <cellStyle name="Total 12 16" xfId="27518" xr:uid="{00000000-0005-0000-0000-0000DE6C0000}"/>
    <cellStyle name="Total 12 2" xfId="27525" xr:uid="{00000000-0005-0000-0000-0000DF6C0000}"/>
    <cellStyle name="Total 12 2 2" xfId="27526" xr:uid="{00000000-0005-0000-0000-0000E06C0000}"/>
    <cellStyle name="Total 12 2 3" xfId="27527" xr:uid="{00000000-0005-0000-0000-0000E16C0000}"/>
    <cellStyle name="Total 12 2 4" xfId="27528" xr:uid="{00000000-0005-0000-0000-0000E26C0000}"/>
    <cellStyle name="Total 12 2 5" xfId="27529" xr:uid="{00000000-0005-0000-0000-0000E36C0000}"/>
    <cellStyle name="Total 12 2 6" xfId="27530" xr:uid="{00000000-0005-0000-0000-0000E46C0000}"/>
    <cellStyle name="Total 12 2 7" xfId="27531" xr:uid="{00000000-0005-0000-0000-0000E56C0000}"/>
    <cellStyle name="Total 12 3" xfId="27532" xr:uid="{00000000-0005-0000-0000-0000E66C0000}"/>
    <cellStyle name="Total 12 4" xfId="27533" xr:uid="{00000000-0005-0000-0000-0000E76C0000}"/>
    <cellStyle name="Total 12 5" xfId="27534" xr:uid="{00000000-0005-0000-0000-0000E86C0000}"/>
    <cellStyle name="Total 12 6" xfId="27535" xr:uid="{00000000-0005-0000-0000-0000E96C0000}"/>
    <cellStyle name="Total 12 7" xfId="27536" xr:uid="{00000000-0005-0000-0000-0000EA6C0000}"/>
    <cellStyle name="Total 12 8" xfId="27537" xr:uid="{00000000-0005-0000-0000-0000EB6C0000}"/>
    <cellStyle name="Total 12 9" xfId="27538" xr:uid="{00000000-0005-0000-0000-0000EC6C0000}"/>
    <cellStyle name="Total 13" xfId="114" xr:uid="{00000000-0005-0000-0000-0000ED6C0000}"/>
    <cellStyle name="Total 13 10" xfId="27540" xr:uid="{00000000-0005-0000-0000-0000EE6C0000}"/>
    <cellStyle name="Total 13 11" xfId="27541" xr:uid="{00000000-0005-0000-0000-0000EF6C0000}"/>
    <cellStyle name="Total 13 12" xfId="27542" xr:uid="{00000000-0005-0000-0000-0000F06C0000}"/>
    <cellStyle name="Total 13 13" xfId="27543" xr:uid="{00000000-0005-0000-0000-0000F16C0000}"/>
    <cellStyle name="Total 13 14" xfId="27544" xr:uid="{00000000-0005-0000-0000-0000F26C0000}"/>
    <cellStyle name="Total 13 15" xfId="27545" xr:uid="{00000000-0005-0000-0000-0000F36C0000}"/>
    <cellStyle name="Total 13 16" xfId="27539" xr:uid="{00000000-0005-0000-0000-0000F46C0000}"/>
    <cellStyle name="Total 13 2" xfId="27546" xr:uid="{00000000-0005-0000-0000-0000F56C0000}"/>
    <cellStyle name="Total 13 2 2" xfId="27547" xr:uid="{00000000-0005-0000-0000-0000F66C0000}"/>
    <cellStyle name="Total 13 2 3" xfId="27548" xr:uid="{00000000-0005-0000-0000-0000F76C0000}"/>
    <cellStyle name="Total 13 2 4" xfId="27549" xr:uid="{00000000-0005-0000-0000-0000F86C0000}"/>
    <cellStyle name="Total 13 2 5" xfId="27550" xr:uid="{00000000-0005-0000-0000-0000F96C0000}"/>
    <cellStyle name="Total 13 2 6" xfId="27551" xr:uid="{00000000-0005-0000-0000-0000FA6C0000}"/>
    <cellStyle name="Total 13 2 7" xfId="27552" xr:uid="{00000000-0005-0000-0000-0000FB6C0000}"/>
    <cellStyle name="Total 13 3" xfId="27553" xr:uid="{00000000-0005-0000-0000-0000FC6C0000}"/>
    <cellStyle name="Total 13 4" xfId="27554" xr:uid="{00000000-0005-0000-0000-0000FD6C0000}"/>
    <cellStyle name="Total 13 5" xfId="27555" xr:uid="{00000000-0005-0000-0000-0000FE6C0000}"/>
    <cellStyle name="Total 13 6" xfId="27556" xr:uid="{00000000-0005-0000-0000-0000FF6C0000}"/>
    <cellStyle name="Total 13 7" xfId="27557" xr:uid="{00000000-0005-0000-0000-0000006D0000}"/>
    <cellStyle name="Total 13 8" xfId="27558" xr:uid="{00000000-0005-0000-0000-0000016D0000}"/>
    <cellStyle name="Total 13 9" xfId="27559" xr:uid="{00000000-0005-0000-0000-0000026D0000}"/>
    <cellStyle name="Total 14" xfId="115" xr:uid="{00000000-0005-0000-0000-0000036D0000}"/>
    <cellStyle name="Total 14 10" xfId="27561" xr:uid="{00000000-0005-0000-0000-0000046D0000}"/>
    <cellStyle name="Total 14 11" xfId="27562" xr:uid="{00000000-0005-0000-0000-0000056D0000}"/>
    <cellStyle name="Total 14 12" xfId="27563" xr:uid="{00000000-0005-0000-0000-0000066D0000}"/>
    <cellStyle name="Total 14 13" xfId="27564" xr:uid="{00000000-0005-0000-0000-0000076D0000}"/>
    <cellStyle name="Total 14 14" xfId="27565" xr:uid="{00000000-0005-0000-0000-0000086D0000}"/>
    <cellStyle name="Total 14 15" xfId="27566" xr:uid="{00000000-0005-0000-0000-0000096D0000}"/>
    <cellStyle name="Total 14 16" xfId="27560" xr:uid="{00000000-0005-0000-0000-00000A6D0000}"/>
    <cellStyle name="Total 14 2" xfId="27567" xr:uid="{00000000-0005-0000-0000-00000B6D0000}"/>
    <cellStyle name="Total 14 2 2" xfId="27568" xr:uid="{00000000-0005-0000-0000-00000C6D0000}"/>
    <cellStyle name="Total 14 2 3" xfId="27569" xr:uid="{00000000-0005-0000-0000-00000D6D0000}"/>
    <cellStyle name="Total 14 2 4" xfId="27570" xr:uid="{00000000-0005-0000-0000-00000E6D0000}"/>
    <cellStyle name="Total 14 2 5" xfId="27571" xr:uid="{00000000-0005-0000-0000-00000F6D0000}"/>
    <cellStyle name="Total 14 2 6" xfId="27572" xr:uid="{00000000-0005-0000-0000-0000106D0000}"/>
    <cellStyle name="Total 14 2 7" xfId="27573" xr:uid="{00000000-0005-0000-0000-0000116D0000}"/>
    <cellStyle name="Total 14 3" xfId="27574" xr:uid="{00000000-0005-0000-0000-0000126D0000}"/>
    <cellStyle name="Total 14 4" xfId="27575" xr:uid="{00000000-0005-0000-0000-0000136D0000}"/>
    <cellStyle name="Total 14 5" xfId="27576" xr:uid="{00000000-0005-0000-0000-0000146D0000}"/>
    <cellStyle name="Total 14 6" xfId="27577" xr:uid="{00000000-0005-0000-0000-0000156D0000}"/>
    <cellStyle name="Total 14 7" xfId="27578" xr:uid="{00000000-0005-0000-0000-0000166D0000}"/>
    <cellStyle name="Total 14 8" xfId="27579" xr:uid="{00000000-0005-0000-0000-0000176D0000}"/>
    <cellStyle name="Total 14 9" xfId="27580" xr:uid="{00000000-0005-0000-0000-0000186D0000}"/>
    <cellStyle name="Total 15" xfId="27581" xr:uid="{00000000-0005-0000-0000-0000196D0000}"/>
    <cellStyle name="Total 15 10" xfId="27582" xr:uid="{00000000-0005-0000-0000-00001A6D0000}"/>
    <cellStyle name="Total 15 11" xfId="27583" xr:uid="{00000000-0005-0000-0000-00001B6D0000}"/>
    <cellStyle name="Total 15 12" xfId="27584" xr:uid="{00000000-0005-0000-0000-00001C6D0000}"/>
    <cellStyle name="Total 15 13" xfId="27585" xr:uid="{00000000-0005-0000-0000-00001D6D0000}"/>
    <cellStyle name="Total 15 14" xfId="27586" xr:uid="{00000000-0005-0000-0000-00001E6D0000}"/>
    <cellStyle name="Total 15 15" xfId="27587" xr:uid="{00000000-0005-0000-0000-00001F6D0000}"/>
    <cellStyle name="Total 15 2" xfId="27588" xr:uid="{00000000-0005-0000-0000-0000206D0000}"/>
    <cellStyle name="Total 15 2 2" xfId="27589" xr:uid="{00000000-0005-0000-0000-0000216D0000}"/>
    <cellStyle name="Total 15 2 3" xfId="27590" xr:uid="{00000000-0005-0000-0000-0000226D0000}"/>
    <cellStyle name="Total 15 2 4" xfId="27591" xr:uid="{00000000-0005-0000-0000-0000236D0000}"/>
    <cellStyle name="Total 15 2 5" xfId="27592" xr:uid="{00000000-0005-0000-0000-0000246D0000}"/>
    <cellStyle name="Total 15 2 6" xfId="27593" xr:uid="{00000000-0005-0000-0000-0000256D0000}"/>
    <cellStyle name="Total 15 2 7" xfId="27594" xr:uid="{00000000-0005-0000-0000-0000266D0000}"/>
    <cellStyle name="Total 15 3" xfId="27595" xr:uid="{00000000-0005-0000-0000-0000276D0000}"/>
    <cellStyle name="Total 15 4" xfId="27596" xr:uid="{00000000-0005-0000-0000-0000286D0000}"/>
    <cellStyle name="Total 15 5" xfId="27597" xr:uid="{00000000-0005-0000-0000-0000296D0000}"/>
    <cellStyle name="Total 15 6" xfId="27598" xr:uid="{00000000-0005-0000-0000-00002A6D0000}"/>
    <cellStyle name="Total 15 7" xfId="27599" xr:uid="{00000000-0005-0000-0000-00002B6D0000}"/>
    <cellStyle name="Total 15 8" xfId="27600" xr:uid="{00000000-0005-0000-0000-00002C6D0000}"/>
    <cellStyle name="Total 15 9" xfId="27601" xr:uid="{00000000-0005-0000-0000-00002D6D0000}"/>
    <cellStyle name="Total 16" xfId="27602" xr:uid="{00000000-0005-0000-0000-00002E6D0000}"/>
    <cellStyle name="Total 16 10" xfId="27603" xr:uid="{00000000-0005-0000-0000-00002F6D0000}"/>
    <cellStyle name="Total 16 11" xfId="27604" xr:uid="{00000000-0005-0000-0000-0000306D0000}"/>
    <cellStyle name="Total 16 12" xfId="27605" xr:uid="{00000000-0005-0000-0000-0000316D0000}"/>
    <cellStyle name="Total 16 13" xfId="27606" xr:uid="{00000000-0005-0000-0000-0000326D0000}"/>
    <cellStyle name="Total 16 14" xfId="27607" xr:uid="{00000000-0005-0000-0000-0000336D0000}"/>
    <cellStyle name="Total 16 15" xfId="27608" xr:uid="{00000000-0005-0000-0000-0000346D0000}"/>
    <cellStyle name="Total 16 2" xfId="27609" xr:uid="{00000000-0005-0000-0000-0000356D0000}"/>
    <cellStyle name="Total 16 2 2" xfId="27610" xr:uid="{00000000-0005-0000-0000-0000366D0000}"/>
    <cellStyle name="Total 16 2 3" xfId="27611" xr:uid="{00000000-0005-0000-0000-0000376D0000}"/>
    <cellStyle name="Total 16 2 4" xfId="27612" xr:uid="{00000000-0005-0000-0000-0000386D0000}"/>
    <cellStyle name="Total 16 2 5" xfId="27613" xr:uid="{00000000-0005-0000-0000-0000396D0000}"/>
    <cellStyle name="Total 16 2 6" xfId="27614" xr:uid="{00000000-0005-0000-0000-00003A6D0000}"/>
    <cellStyle name="Total 16 2 7" xfId="27615" xr:uid="{00000000-0005-0000-0000-00003B6D0000}"/>
    <cellStyle name="Total 16 3" xfId="27616" xr:uid="{00000000-0005-0000-0000-00003C6D0000}"/>
    <cellStyle name="Total 16 4" xfId="27617" xr:uid="{00000000-0005-0000-0000-00003D6D0000}"/>
    <cellStyle name="Total 16 5" xfId="27618" xr:uid="{00000000-0005-0000-0000-00003E6D0000}"/>
    <cellStyle name="Total 16 6" xfId="27619" xr:uid="{00000000-0005-0000-0000-00003F6D0000}"/>
    <cellStyle name="Total 16 7" xfId="27620" xr:uid="{00000000-0005-0000-0000-0000406D0000}"/>
    <cellStyle name="Total 16 8" xfId="27621" xr:uid="{00000000-0005-0000-0000-0000416D0000}"/>
    <cellStyle name="Total 16 9" xfId="27622" xr:uid="{00000000-0005-0000-0000-0000426D0000}"/>
    <cellStyle name="Total 17" xfId="27623" xr:uid="{00000000-0005-0000-0000-0000436D0000}"/>
    <cellStyle name="Total 17 10" xfId="27624" xr:uid="{00000000-0005-0000-0000-0000446D0000}"/>
    <cellStyle name="Total 17 11" xfId="27625" xr:uid="{00000000-0005-0000-0000-0000456D0000}"/>
    <cellStyle name="Total 17 12" xfId="27626" xr:uid="{00000000-0005-0000-0000-0000466D0000}"/>
    <cellStyle name="Total 17 13" xfId="27627" xr:uid="{00000000-0005-0000-0000-0000476D0000}"/>
    <cellStyle name="Total 17 14" xfId="27628" xr:uid="{00000000-0005-0000-0000-0000486D0000}"/>
    <cellStyle name="Total 17 15" xfId="27629" xr:uid="{00000000-0005-0000-0000-0000496D0000}"/>
    <cellStyle name="Total 17 2" xfId="27630" xr:uid="{00000000-0005-0000-0000-00004A6D0000}"/>
    <cellStyle name="Total 17 2 2" xfId="27631" xr:uid="{00000000-0005-0000-0000-00004B6D0000}"/>
    <cellStyle name="Total 17 2 3" xfId="27632" xr:uid="{00000000-0005-0000-0000-00004C6D0000}"/>
    <cellStyle name="Total 17 2 4" xfId="27633" xr:uid="{00000000-0005-0000-0000-00004D6D0000}"/>
    <cellStyle name="Total 17 2 5" xfId="27634" xr:uid="{00000000-0005-0000-0000-00004E6D0000}"/>
    <cellStyle name="Total 17 2 6" xfId="27635" xr:uid="{00000000-0005-0000-0000-00004F6D0000}"/>
    <cellStyle name="Total 17 2 7" xfId="27636" xr:uid="{00000000-0005-0000-0000-0000506D0000}"/>
    <cellStyle name="Total 17 3" xfId="27637" xr:uid="{00000000-0005-0000-0000-0000516D0000}"/>
    <cellStyle name="Total 17 4" xfId="27638" xr:uid="{00000000-0005-0000-0000-0000526D0000}"/>
    <cellStyle name="Total 17 5" xfId="27639" xr:uid="{00000000-0005-0000-0000-0000536D0000}"/>
    <cellStyle name="Total 17 6" xfId="27640" xr:uid="{00000000-0005-0000-0000-0000546D0000}"/>
    <cellStyle name="Total 17 7" xfId="27641" xr:uid="{00000000-0005-0000-0000-0000556D0000}"/>
    <cellStyle name="Total 17 8" xfId="27642" xr:uid="{00000000-0005-0000-0000-0000566D0000}"/>
    <cellStyle name="Total 17 9" xfId="27643" xr:uid="{00000000-0005-0000-0000-0000576D0000}"/>
    <cellStyle name="Total 18" xfId="27644" xr:uid="{00000000-0005-0000-0000-0000586D0000}"/>
    <cellStyle name="Total 18 10" xfId="27645" xr:uid="{00000000-0005-0000-0000-0000596D0000}"/>
    <cellStyle name="Total 18 11" xfId="27646" xr:uid="{00000000-0005-0000-0000-00005A6D0000}"/>
    <cellStyle name="Total 18 12" xfId="27647" xr:uid="{00000000-0005-0000-0000-00005B6D0000}"/>
    <cellStyle name="Total 18 13" xfId="27648" xr:uid="{00000000-0005-0000-0000-00005C6D0000}"/>
    <cellStyle name="Total 18 14" xfId="27649" xr:uid="{00000000-0005-0000-0000-00005D6D0000}"/>
    <cellStyle name="Total 18 15" xfId="27650" xr:uid="{00000000-0005-0000-0000-00005E6D0000}"/>
    <cellStyle name="Total 18 2" xfId="27651" xr:uid="{00000000-0005-0000-0000-00005F6D0000}"/>
    <cellStyle name="Total 18 2 2" xfId="27652" xr:uid="{00000000-0005-0000-0000-0000606D0000}"/>
    <cellStyle name="Total 18 2 3" xfId="27653" xr:uid="{00000000-0005-0000-0000-0000616D0000}"/>
    <cellStyle name="Total 18 2 4" xfId="27654" xr:uid="{00000000-0005-0000-0000-0000626D0000}"/>
    <cellStyle name="Total 18 2 5" xfId="27655" xr:uid="{00000000-0005-0000-0000-0000636D0000}"/>
    <cellStyle name="Total 18 2 6" xfId="27656" xr:uid="{00000000-0005-0000-0000-0000646D0000}"/>
    <cellStyle name="Total 18 2 7" xfId="27657" xr:uid="{00000000-0005-0000-0000-0000656D0000}"/>
    <cellStyle name="Total 18 3" xfId="27658" xr:uid="{00000000-0005-0000-0000-0000666D0000}"/>
    <cellStyle name="Total 18 4" xfId="27659" xr:uid="{00000000-0005-0000-0000-0000676D0000}"/>
    <cellStyle name="Total 18 5" xfId="27660" xr:uid="{00000000-0005-0000-0000-0000686D0000}"/>
    <cellStyle name="Total 18 6" xfId="27661" xr:uid="{00000000-0005-0000-0000-0000696D0000}"/>
    <cellStyle name="Total 18 7" xfId="27662" xr:uid="{00000000-0005-0000-0000-00006A6D0000}"/>
    <cellStyle name="Total 18 8" xfId="27663" xr:uid="{00000000-0005-0000-0000-00006B6D0000}"/>
    <cellStyle name="Total 18 9" xfId="27664" xr:uid="{00000000-0005-0000-0000-00006C6D0000}"/>
    <cellStyle name="Total 19" xfId="27665" xr:uid="{00000000-0005-0000-0000-00006D6D0000}"/>
    <cellStyle name="Total 19 10" xfId="27666" xr:uid="{00000000-0005-0000-0000-00006E6D0000}"/>
    <cellStyle name="Total 19 11" xfId="27667" xr:uid="{00000000-0005-0000-0000-00006F6D0000}"/>
    <cellStyle name="Total 19 12" xfId="27668" xr:uid="{00000000-0005-0000-0000-0000706D0000}"/>
    <cellStyle name="Total 19 13" xfId="27669" xr:uid="{00000000-0005-0000-0000-0000716D0000}"/>
    <cellStyle name="Total 19 14" xfId="27670" xr:uid="{00000000-0005-0000-0000-0000726D0000}"/>
    <cellStyle name="Total 19 15" xfId="27671" xr:uid="{00000000-0005-0000-0000-0000736D0000}"/>
    <cellStyle name="Total 19 2" xfId="27672" xr:uid="{00000000-0005-0000-0000-0000746D0000}"/>
    <cellStyle name="Total 19 2 2" xfId="27673" xr:uid="{00000000-0005-0000-0000-0000756D0000}"/>
    <cellStyle name="Total 19 2 3" xfId="27674" xr:uid="{00000000-0005-0000-0000-0000766D0000}"/>
    <cellStyle name="Total 19 2 4" xfId="27675" xr:uid="{00000000-0005-0000-0000-0000776D0000}"/>
    <cellStyle name="Total 19 2 5" xfId="27676" xr:uid="{00000000-0005-0000-0000-0000786D0000}"/>
    <cellStyle name="Total 19 2 6" xfId="27677" xr:uid="{00000000-0005-0000-0000-0000796D0000}"/>
    <cellStyle name="Total 19 2 7" xfId="27678" xr:uid="{00000000-0005-0000-0000-00007A6D0000}"/>
    <cellStyle name="Total 19 3" xfId="27679" xr:uid="{00000000-0005-0000-0000-00007B6D0000}"/>
    <cellStyle name="Total 19 4" xfId="27680" xr:uid="{00000000-0005-0000-0000-00007C6D0000}"/>
    <cellStyle name="Total 19 5" xfId="27681" xr:uid="{00000000-0005-0000-0000-00007D6D0000}"/>
    <cellStyle name="Total 19 6" xfId="27682" xr:uid="{00000000-0005-0000-0000-00007E6D0000}"/>
    <cellStyle name="Total 19 7" xfId="27683" xr:uid="{00000000-0005-0000-0000-00007F6D0000}"/>
    <cellStyle name="Total 19 8" xfId="27684" xr:uid="{00000000-0005-0000-0000-0000806D0000}"/>
    <cellStyle name="Total 19 9" xfId="27685" xr:uid="{00000000-0005-0000-0000-0000816D0000}"/>
    <cellStyle name="Total 2" xfId="44" xr:uid="{00000000-0005-0000-0000-0000826D0000}"/>
    <cellStyle name="Total 2 10" xfId="27687" xr:uid="{00000000-0005-0000-0000-0000836D0000}"/>
    <cellStyle name="Total 2 10 2" xfId="27688" xr:uid="{00000000-0005-0000-0000-0000846D0000}"/>
    <cellStyle name="Total 2 10 2 2" xfId="27689" xr:uid="{00000000-0005-0000-0000-0000856D0000}"/>
    <cellStyle name="Total 2 10 2 3" xfId="27690" xr:uid="{00000000-0005-0000-0000-0000866D0000}"/>
    <cellStyle name="Total 2 10 2 4" xfId="27691" xr:uid="{00000000-0005-0000-0000-0000876D0000}"/>
    <cellStyle name="Total 2 10 2 5" xfId="27692" xr:uid="{00000000-0005-0000-0000-0000886D0000}"/>
    <cellStyle name="Total 2 10 2 6" xfId="27693" xr:uid="{00000000-0005-0000-0000-0000896D0000}"/>
    <cellStyle name="Total 2 10 2 7" xfId="27694" xr:uid="{00000000-0005-0000-0000-00008A6D0000}"/>
    <cellStyle name="Total 2 10 3" xfId="27695" xr:uid="{00000000-0005-0000-0000-00008B6D0000}"/>
    <cellStyle name="Total 2 10 4" xfId="27696" xr:uid="{00000000-0005-0000-0000-00008C6D0000}"/>
    <cellStyle name="Total 2 10 5" xfId="27697" xr:uid="{00000000-0005-0000-0000-00008D6D0000}"/>
    <cellStyle name="Total 2 10 6" xfId="27698" xr:uid="{00000000-0005-0000-0000-00008E6D0000}"/>
    <cellStyle name="Total 2 10 7" xfId="27699" xr:uid="{00000000-0005-0000-0000-00008F6D0000}"/>
    <cellStyle name="Total 2 11" xfId="27700" xr:uid="{00000000-0005-0000-0000-0000906D0000}"/>
    <cellStyle name="Total 2 12" xfId="27701" xr:uid="{00000000-0005-0000-0000-0000916D0000}"/>
    <cellStyle name="Total 2 13" xfId="27702" xr:uid="{00000000-0005-0000-0000-0000926D0000}"/>
    <cellStyle name="Total 2 14" xfId="27703" xr:uid="{00000000-0005-0000-0000-0000936D0000}"/>
    <cellStyle name="Total 2 15" xfId="27704" xr:uid="{00000000-0005-0000-0000-0000946D0000}"/>
    <cellStyle name="Total 2 16" xfId="27705" xr:uid="{00000000-0005-0000-0000-0000956D0000}"/>
    <cellStyle name="Total 2 17" xfId="27706" xr:uid="{00000000-0005-0000-0000-0000966D0000}"/>
    <cellStyle name="Total 2 18" xfId="27707" xr:uid="{00000000-0005-0000-0000-0000976D0000}"/>
    <cellStyle name="Total 2 19" xfId="27708" xr:uid="{00000000-0005-0000-0000-0000986D0000}"/>
    <cellStyle name="Total 2 2" xfId="27709" xr:uid="{00000000-0005-0000-0000-0000996D0000}"/>
    <cellStyle name="Total 2 2 10" xfId="27710" xr:uid="{00000000-0005-0000-0000-00009A6D0000}"/>
    <cellStyle name="Total 2 2 11" xfId="27711" xr:uid="{00000000-0005-0000-0000-00009B6D0000}"/>
    <cellStyle name="Total 2 2 12" xfId="27712" xr:uid="{00000000-0005-0000-0000-00009C6D0000}"/>
    <cellStyle name="Total 2 2 13" xfId="27713" xr:uid="{00000000-0005-0000-0000-00009D6D0000}"/>
    <cellStyle name="Total 2 2 14" xfId="27714" xr:uid="{00000000-0005-0000-0000-00009E6D0000}"/>
    <cellStyle name="Total 2 2 2" xfId="27715" xr:uid="{00000000-0005-0000-0000-00009F6D0000}"/>
    <cellStyle name="Total 2 2 2 10" xfId="27716" xr:uid="{00000000-0005-0000-0000-0000A06D0000}"/>
    <cellStyle name="Total 2 2 2 11" xfId="27717" xr:uid="{00000000-0005-0000-0000-0000A16D0000}"/>
    <cellStyle name="Total 2 2 2 12" xfId="27718" xr:uid="{00000000-0005-0000-0000-0000A26D0000}"/>
    <cellStyle name="Total 2 2 2 13" xfId="27719" xr:uid="{00000000-0005-0000-0000-0000A36D0000}"/>
    <cellStyle name="Total 2 2 2 2" xfId="27720" xr:uid="{00000000-0005-0000-0000-0000A46D0000}"/>
    <cellStyle name="Total 2 2 2 2 10" xfId="27721" xr:uid="{00000000-0005-0000-0000-0000A56D0000}"/>
    <cellStyle name="Total 2 2 2 2 11" xfId="27722" xr:uid="{00000000-0005-0000-0000-0000A66D0000}"/>
    <cellStyle name="Total 2 2 2 2 12" xfId="27723" xr:uid="{00000000-0005-0000-0000-0000A76D0000}"/>
    <cellStyle name="Total 2 2 2 2 2" xfId="27724" xr:uid="{00000000-0005-0000-0000-0000A86D0000}"/>
    <cellStyle name="Total 2 2 2 2 2 2" xfId="27725" xr:uid="{00000000-0005-0000-0000-0000A96D0000}"/>
    <cellStyle name="Total 2 2 2 2 2 2 2" xfId="27726" xr:uid="{00000000-0005-0000-0000-0000AA6D0000}"/>
    <cellStyle name="Total 2 2 2 2 2 2 3" xfId="27727" xr:uid="{00000000-0005-0000-0000-0000AB6D0000}"/>
    <cellStyle name="Total 2 2 2 2 2 2 4" xfId="27728" xr:uid="{00000000-0005-0000-0000-0000AC6D0000}"/>
    <cellStyle name="Total 2 2 2 2 2 2 5" xfId="27729" xr:uid="{00000000-0005-0000-0000-0000AD6D0000}"/>
    <cellStyle name="Total 2 2 2 2 2 2 6" xfId="27730" xr:uid="{00000000-0005-0000-0000-0000AE6D0000}"/>
    <cellStyle name="Total 2 2 2 2 2 2 7" xfId="27731" xr:uid="{00000000-0005-0000-0000-0000AF6D0000}"/>
    <cellStyle name="Total 2 2 2 2 2 3" xfId="27732" xr:uid="{00000000-0005-0000-0000-0000B06D0000}"/>
    <cellStyle name="Total 2 2 2 2 2 4" xfId="27733" xr:uid="{00000000-0005-0000-0000-0000B16D0000}"/>
    <cellStyle name="Total 2 2 2 2 2 5" xfId="27734" xr:uid="{00000000-0005-0000-0000-0000B26D0000}"/>
    <cellStyle name="Total 2 2 2 2 2 6" xfId="27735" xr:uid="{00000000-0005-0000-0000-0000B36D0000}"/>
    <cellStyle name="Total 2 2 2 2 2 7" xfId="27736" xr:uid="{00000000-0005-0000-0000-0000B46D0000}"/>
    <cellStyle name="Total 2 2 2 2 3" xfId="27737" xr:uid="{00000000-0005-0000-0000-0000B56D0000}"/>
    <cellStyle name="Total 2 2 2 2 4" xfId="27738" xr:uid="{00000000-0005-0000-0000-0000B66D0000}"/>
    <cellStyle name="Total 2 2 2 2 5" xfId="27739" xr:uid="{00000000-0005-0000-0000-0000B76D0000}"/>
    <cellStyle name="Total 2 2 2 2 6" xfId="27740" xr:uid="{00000000-0005-0000-0000-0000B86D0000}"/>
    <cellStyle name="Total 2 2 2 2 7" xfId="27741" xr:uid="{00000000-0005-0000-0000-0000B96D0000}"/>
    <cellStyle name="Total 2 2 2 2 8" xfId="27742" xr:uid="{00000000-0005-0000-0000-0000BA6D0000}"/>
    <cellStyle name="Total 2 2 2 2 9" xfId="27743" xr:uid="{00000000-0005-0000-0000-0000BB6D0000}"/>
    <cellStyle name="Total 2 2 2 3" xfId="27744" xr:uid="{00000000-0005-0000-0000-0000BC6D0000}"/>
    <cellStyle name="Total 2 2 2 4" xfId="27745" xr:uid="{00000000-0005-0000-0000-0000BD6D0000}"/>
    <cellStyle name="Total 2 2 2 5" xfId="27746" xr:uid="{00000000-0005-0000-0000-0000BE6D0000}"/>
    <cellStyle name="Total 2 2 2 6" xfId="27747" xr:uid="{00000000-0005-0000-0000-0000BF6D0000}"/>
    <cellStyle name="Total 2 2 2 7" xfId="27748" xr:uid="{00000000-0005-0000-0000-0000C06D0000}"/>
    <cellStyle name="Total 2 2 2 8" xfId="27749" xr:uid="{00000000-0005-0000-0000-0000C16D0000}"/>
    <cellStyle name="Total 2 2 2 9" xfId="27750" xr:uid="{00000000-0005-0000-0000-0000C26D0000}"/>
    <cellStyle name="Total 2 2 3" xfId="27751" xr:uid="{00000000-0005-0000-0000-0000C36D0000}"/>
    <cellStyle name="Total 2 2 4" xfId="27752" xr:uid="{00000000-0005-0000-0000-0000C46D0000}"/>
    <cellStyle name="Total 2 2 4 2" xfId="27753" xr:uid="{00000000-0005-0000-0000-0000C56D0000}"/>
    <cellStyle name="Total 2 2 4 3" xfId="27754" xr:uid="{00000000-0005-0000-0000-0000C66D0000}"/>
    <cellStyle name="Total 2 2 4 4" xfId="27755" xr:uid="{00000000-0005-0000-0000-0000C76D0000}"/>
    <cellStyle name="Total 2 2 4 5" xfId="27756" xr:uid="{00000000-0005-0000-0000-0000C86D0000}"/>
    <cellStyle name="Total 2 2 4 6" xfId="27757" xr:uid="{00000000-0005-0000-0000-0000C96D0000}"/>
    <cellStyle name="Total 2 2 5" xfId="27758" xr:uid="{00000000-0005-0000-0000-0000CA6D0000}"/>
    <cellStyle name="Total 2 2 6" xfId="27759" xr:uid="{00000000-0005-0000-0000-0000CB6D0000}"/>
    <cellStyle name="Total 2 2 7" xfId="27760" xr:uid="{00000000-0005-0000-0000-0000CC6D0000}"/>
    <cellStyle name="Total 2 2 8" xfId="27761" xr:uid="{00000000-0005-0000-0000-0000CD6D0000}"/>
    <cellStyle name="Total 2 2 9" xfId="27762" xr:uid="{00000000-0005-0000-0000-0000CE6D0000}"/>
    <cellStyle name="Total 2 20" xfId="27763" xr:uid="{00000000-0005-0000-0000-0000CF6D0000}"/>
    <cellStyle name="Total 2 21" xfId="27686" xr:uid="{00000000-0005-0000-0000-0000D06D0000}"/>
    <cellStyle name="Total 2 22" xfId="30797" xr:uid="{00000000-0005-0000-0000-0000D16D0000}"/>
    <cellStyle name="Total 2 3" xfId="27764" xr:uid="{00000000-0005-0000-0000-0000D26D0000}"/>
    <cellStyle name="Total 2 3 2" xfId="27765" xr:uid="{00000000-0005-0000-0000-0000D36D0000}"/>
    <cellStyle name="Total 2 3 2 2" xfId="27766" xr:uid="{00000000-0005-0000-0000-0000D46D0000}"/>
    <cellStyle name="Total 2 3 2 3" xfId="27767" xr:uid="{00000000-0005-0000-0000-0000D56D0000}"/>
    <cellStyle name="Total 2 3 2 4" xfId="27768" xr:uid="{00000000-0005-0000-0000-0000D66D0000}"/>
    <cellStyle name="Total 2 3 2 5" xfId="27769" xr:uid="{00000000-0005-0000-0000-0000D76D0000}"/>
    <cellStyle name="Total 2 3 2 6" xfId="27770" xr:uid="{00000000-0005-0000-0000-0000D86D0000}"/>
    <cellStyle name="Total 2 3 2 7" xfId="27771" xr:uid="{00000000-0005-0000-0000-0000D96D0000}"/>
    <cellStyle name="Total 2 3 3" xfId="27772" xr:uid="{00000000-0005-0000-0000-0000DA6D0000}"/>
    <cellStyle name="Total 2 3 4" xfId="27773" xr:uid="{00000000-0005-0000-0000-0000DB6D0000}"/>
    <cellStyle name="Total 2 3 5" xfId="27774" xr:uid="{00000000-0005-0000-0000-0000DC6D0000}"/>
    <cellStyle name="Total 2 3 6" xfId="27775" xr:uid="{00000000-0005-0000-0000-0000DD6D0000}"/>
    <cellStyle name="Total 2 3 7" xfId="27776" xr:uid="{00000000-0005-0000-0000-0000DE6D0000}"/>
    <cellStyle name="Total 2 3 8" xfId="27777" xr:uid="{00000000-0005-0000-0000-0000DF6D0000}"/>
    <cellStyle name="Total 2 4" xfId="27778" xr:uid="{00000000-0005-0000-0000-0000E06D0000}"/>
    <cellStyle name="Total 2 4 2" xfId="27779" xr:uid="{00000000-0005-0000-0000-0000E16D0000}"/>
    <cellStyle name="Total 2 4 2 2" xfId="27780" xr:uid="{00000000-0005-0000-0000-0000E26D0000}"/>
    <cellStyle name="Total 2 4 2 3" xfId="27781" xr:uid="{00000000-0005-0000-0000-0000E36D0000}"/>
    <cellStyle name="Total 2 4 2 4" xfId="27782" xr:uid="{00000000-0005-0000-0000-0000E46D0000}"/>
    <cellStyle name="Total 2 4 2 5" xfId="27783" xr:uid="{00000000-0005-0000-0000-0000E56D0000}"/>
    <cellStyle name="Total 2 4 2 6" xfId="27784" xr:uid="{00000000-0005-0000-0000-0000E66D0000}"/>
    <cellStyle name="Total 2 4 2 7" xfId="27785" xr:uid="{00000000-0005-0000-0000-0000E76D0000}"/>
    <cellStyle name="Total 2 4 3" xfId="27786" xr:uid="{00000000-0005-0000-0000-0000E86D0000}"/>
    <cellStyle name="Total 2 4 4" xfId="27787" xr:uid="{00000000-0005-0000-0000-0000E96D0000}"/>
    <cellStyle name="Total 2 4 5" xfId="27788" xr:uid="{00000000-0005-0000-0000-0000EA6D0000}"/>
    <cellStyle name="Total 2 4 6" xfId="27789" xr:uid="{00000000-0005-0000-0000-0000EB6D0000}"/>
    <cellStyle name="Total 2 4 7" xfId="27790" xr:uid="{00000000-0005-0000-0000-0000EC6D0000}"/>
    <cellStyle name="Total 2 4 8" xfId="27791" xr:uid="{00000000-0005-0000-0000-0000ED6D0000}"/>
    <cellStyle name="Total 2 5" xfId="27792" xr:uid="{00000000-0005-0000-0000-0000EE6D0000}"/>
    <cellStyle name="Total 2 5 2" xfId="27793" xr:uid="{00000000-0005-0000-0000-0000EF6D0000}"/>
    <cellStyle name="Total 2 5 2 2" xfId="27794" xr:uid="{00000000-0005-0000-0000-0000F06D0000}"/>
    <cellStyle name="Total 2 5 2 3" xfId="27795" xr:uid="{00000000-0005-0000-0000-0000F16D0000}"/>
    <cellStyle name="Total 2 5 2 4" xfId="27796" xr:uid="{00000000-0005-0000-0000-0000F26D0000}"/>
    <cellStyle name="Total 2 5 2 5" xfId="27797" xr:uid="{00000000-0005-0000-0000-0000F36D0000}"/>
    <cellStyle name="Total 2 5 2 6" xfId="27798" xr:uid="{00000000-0005-0000-0000-0000F46D0000}"/>
    <cellStyle name="Total 2 5 2 7" xfId="27799" xr:uid="{00000000-0005-0000-0000-0000F56D0000}"/>
    <cellStyle name="Total 2 5 3" xfId="27800" xr:uid="{00000000-0005-0000-0000-0000F66D0000}"/>
    <cellStyle name="Total 2 5 4" xfId="27801" xr:uid="{00000000-0005-0000-0000-0000F76D0000}"/>
    <cellStyle name="Total 2 5 5" xfId="27802" xr:uid="{00000000-0005-0000-0000-0000F86D0000}"/>
    <cellStyle name="Total 2 5 6" xfId="27803" xr:uid="{00000000-0005-0000-0000-0000F96D0000}"/>
    <cellStyle name="Total 2 5 7" xfId="27804" xr:uid="{00000000-0005-0000-0000-0000FA6D0000}"/>
    <cellStyle name="Total 2 5 8" xfId="27805" xr:uid="{00000000-0005-0000-0000-0000FB6D0000}"/>
    <cellStyle name="Total 2 6" xfId="27806" xr:uid="{00000000-0005-0000-0000-0000FC6D0000}"/>
    <cellStyle name="Total 2 6 2" xfId="27807" xr:uid="{00000000-0005-0000-0000-0000FD6D0000}"/>
    <cellStyle name="Total 2 6 2 2" xfId="27808" xr:uid="{00000000-0005-0000-0000-0000FE6D0000}"/>
    <cellStyle name="Total 2 6 2 3" xfId="27809" xr:uid="{00000000-0005-0000-0000-0000FF6D0000}"/>
    <cellStyle name="Total 2 6 2 4" xfId="27810" xr:uid="{00000000-0005-0000-0000-0000006E0000}"/>
    <cellStyle name="Total 2 6 2 5" xfId="27811" xr:uid="{00000000-0005-0000-0000-0000016E0000}"/>
    <cellStyle name="Total 2 6 2 6" xfId="27812" xr:uid="{00000000-0005-0000-0000-0000026E0000}"/>
    <cellStyle name="Total 2 6 2 7" xfId="27813" xr:uid="{00000000-0005-0000-0000-0000036E0000}"/>
    <cellStyle name="Total 2 6 3" xfId="27814" xr:uid="{00000000-0005-0000-0000-0000046E0000}"/>
    <cellStyle name="Total 2 6 4" xfId="27815" xr:uid="{00000000-0005-0000-0000-0000056E0000}"/>
    <cellStyle name="Total 2 6 5" xfId="27816" xr:uid="{00000000-0005-0000-0000-0000066E0000}"/>
    <cellStyle name="Total 2 6 6" xfId="27817" xr:uid="{00000000-0005-0000-0000-0000076E0000}"/>
    <cellStyle name="Total 2 6 7" xfId="27818" xr:uid="{00000000-0005-0000-0000-0000086E0000}"/>
    <cellStyle name="Total 2 6 8" xfId="27819" xr:uid="{00000000-0005-0000-0000-0000096E0000}"/>
    <cellStyle name="Total 2 7" xfId="27820" xr:uid="{00000000-0005-0000-0000-00000A6E0000}"/>
    <cellStyle name="Total 2 7 2" xfId="27821" xr:uid="{00000000-0005-0000-0000-00000B6E0000}"/>
    <cellStyle name="Total 2 7 2 2" xfId="27822" xr:uid="{00000000-0005-0000-0000-00000C6E0000}"/>
    <cellStyle name="Total 2 7 2 3" xfId="27823" xr:uid="{00000000-0005-0000-0000-00000D6E0000}"/>
    <cellStyle name="Total 2 7 2 4" xfId="27824" xr:uid="{00000000-0005-0000-0000-00000E6E0000}"/>
    <cellStyle name="Total 2 7 2 5" xfId="27825" xr:uid="{00000000-0005-0000-0000-00000F6E0000}"/>
    <cellStyle name="Total 2 7 2 6" xfId="27826" xr:uid="{00000000-0005-0000-0000-0000106E0000}"/>
    <cellStyle name="Total 2 7 2 7" xfId="27827" xr:uid="{00000000-0005-0000-0000-0000116E0000}"/>
    <cellStyle name="Total 2 7 3" xfId="27828" xr:uid="{00000000-0005-0000-0000-0000126E0000}"/>
    <cellStyle name="Total 2 7 4" xfId="27829" xr:uid="{00000000-0005-0000-0000-0000136E0000}"/>
    <cellStyle name="Total 2 7 5" xfId="27830" xr:uid="{00000000-0005-0000-0000-0000146E0000}"/>
    <cellStyle name="Total 2 7 6" xfId="27831" xr:uid="{00000000-0005-0000-0000-0000156E0000}"/>
    <cellStyle name="Total 2 7 7" xfId="27832" xr:uid="{00000000-0005-0000-0000-0000166E0000}"/>
    <cellStyle name="Total 2 7 8" xfId="27833" xr:uid="{00000000-0005-0000-0000-0000176E0000}"/>
    <cellStyle name="Total 2 8" xfId="27834" xr:uid="{00000000-0005-0000-0000-0000186E0000}"/>
    <cellStyle name="Total 2 8 2" xfId="27835" xr:uid="{00000000-0005-0000-0000-0000196E0000}"/>
    <cellStyle name="Total 2 8 2 2" xfId="27836" xr:uid="{00000000-0005-0000-0000-00001A6E0000}"/>
    <cellStyle name="Total 2 8 2 3" xfId="27837" xr:uid="{00000000-0005-0000-0000-00001B6E0000}"/>
    <cellStyle name="Total 2 8 2 4" xfId="27838" xr:uid="{00000000-0005-0000-0000-00001C6E0000}"/>
    <cellStyle name="Total 2 8 2 5" xfId="27839" xr:uid="{00000000-0005-0000-0000-00001D6E0000}"/>
    <cellStyle name="Total 2 8 2 6" xfId="27840" xr:uid="{00000000-0005-0000-0000-00001E6E0000}"/>
    <cellStyle name="Total 2 8 2 7" xfId="27841" xr:uid="{00000000-0005-0000-0000-00001F6E0000}"/>
    <cellStyle name="Total 2 8 3" xfId="27842" xr:uid="{00000000-0005-0000-0000-0000206E0000}"/>
    <cellStyle name="Total 2 8 4" xfId="27843" xr:uid="{00000000-0005-0000-0000-0000216E0000}"/>
    <cellStyle name="Total 2 8 5" xfId="27844" xr:uid="{00000000-0005-0000-0000-0000226E0000}"/>
    <cellStyle name="Total 2 8 6" xfId="27845" xr:uid="{00000000-0005-0000-0000-0000236E0000}"/>
    <cellStyle name="Total 2 8 7" xfId="27846" xr:uid="{00000000-0005-0000-0000-0000246E0000}"/>
    <cellStyle name="Total 2 9" xfId="27847" xr:uid="{00000000-0005-0000-0000-0000256E0000}"/>
    <cellStyle name="Total 2 9 10" xfId="27848" xr:uid="{00000000-0005-0000-0000-0000266E0000}"/>
    <cellStyle name="Total 2 9 11" xfId="27849" xr:uid="{00000000-0005-0000-0000-0000276E0000}"/>
    <cellStyle name="Total 2 9 12" xfId="27850" xr:uid="{00000000-0005-0000-0000-0000286E0000}"/>
    <cellStyle name="Total 2 9 2" xfId="27851" xr:uid="{00000000-0005-0000-0000-0000296E0000}"/>
    <cellStyle name="Total 2 9 2 2" xfId="27852" xr:uid="{00000000-0005-0000-0000-00002A6E0000}"/>
    <cellStyle name="Total 2 9 2 2 2" xfId="27853" xr:uid="{00000000-0005-0000-0000-00002B6E0000}"/>
    <cellStyle name="Total 2 9 2 2 3" xfId="27854" xr:uid="{00000000-0005-0000-0000-00002C6E0000}"/>
    <cellStyle name="Total 2 9 2 2 4" xfId="27855" xr:uid="{00000000-0005-0000-0000-00002D6E0000}"/>
    <cellStyle name="Total 2 9 2 2 5" xfId="27856" xr:uid="{00000000-0005-0000-0000-00002E6E0000}"/>
    <cellStyle name="Total 2 9 2 2 6" xfId="27857" xr:uid="{00000000-0005-0000-0000-00002F6E0000}"/>
    <cellStyle name="Total 2 9 2 2 7" xfId="27858" xr:uid="{00000000-0005-0000-0000-0000306E0000}"/>
    <cellStyle name="Total 2 9 2 3" xfId="27859" xr:uid="{00000000-0005-0000-0000-0000316E0000}"/>
    <cellStyle name="Total 2 9 2 4" xfId="27860" xr:uid="{00000000-0005-0000-0000-0000326E0000}"/>
    <cellStyle name="Total 2 9 2 5" xfId="27861" xr:uid="{00000000-0005-0000-0000-0000336E0000}"/>
    <cellStyle name="Total 2 9 2 6" xfId="27862" xr:uid="{00000000-0005-0000-0000-0000346E0000}"/>
    <cellStyle name="Total 2 9 2 7" xfId="27863" xr:uid="{00000000-0005-0000-0000-0000356E0000}"/>
    <cellStyle name="Total 2 9 3" xfId="27864" xr:uid="{00000000-0005-0000-0000-0000366E0000}"/>
    <cellStyle name="Total 2 9 4" xfId="27865" xr:uid="{00000000-0005-0000-0000-0000376E0000}"/>
    <cellStyle name="Total 2 9 5" xfId="27866" xr:uid="{00000000-0005-0000-0000-0000386E0000}"/>
    <cellStyle name="Total 2 9 6" xfId="27867" xr:uid="{00000000-0005-0000-0000-0000396E0000}"/>
    <cellStyle name="Total 2 9 7" xfId="27868" xr:uid="{00000000-0005-0000-0000-00003A6E0000}"/>
    <cellStyle name="Total 2 9 8" xfId="27869" xr:uid="{00000000-0005-0000-0000-00003B6E0000}"/>
    <cellStyle name="Total 2 9 9" xfId="27870" xr:uid="{00000000-0005-0000-0000-00003C6E0000}"/>
    <cellStyle name="Total 20" xfId="27871" xr:uid="{00000000-0005-0000-0000-00003D6E0000}"/>
    <cellStyle name="Total 20 10" xfId="27872" xr:uid="{00000000-0005-0000-0000-00003E6E0000}"/>
    <cellStyle name="Total 20 11" xfId="27873" xr:uid="{00000000-0005-0000-0000-00003F6E0000}"/>
    <cellStyle name="Total 20 12" xfId="27874" xr:uid="{00000000-0005-0000-0000-0000406E0000}"/>
    <cellStyle name="Total 20 13" xfId="27875" xr:uid="{00000000-0005-0000-0000-0000416E0000}"/>
    <cellStyle name="Total 20 14" xfId="27876" xr:uid="{00000000-0005-0000-0000-0000426E0000}"/>
    <cellStyle name="Total 20 15" xfId="27877" xr:uid="{00000000-0005-0000-0000-0000436E0000}"/>
    <cellStyle name="Total 20 2" xfId="27878" xr:uid="{00000000-0005-0000-0000-0000446E0000}"/>
    <cellStyle name="Total 20 2 2" xfId="27879" xr:uid="{00000000-0005-0000-0000-0000456E0000}"/>
    <cellStyle name="Total 20 2 3" xfId="27880" xr:uid="{00000000-0005-0000-0000-0000466E0000}"/>
    <cellStyle name="Total 20 2 4" xfId="27881" xr:uid="{00000000-0005-0000-0000-0000476E0000}"/>
    <cellStyle name="Total 20 2 5" xfId="27882" xr:uid="{00000000-0005-0000-0000-0000486E0000}"/>
    <cellStyle name="Total 20 2 6" xfId="27883" xr:uid="{00000000-0005-0000-0000-0000496E0000}"/>
    <cellStyle name="Total 20 2 7" xfId="27884" xr:uid="{00000000-0005-0000-0000-00004A6E0000}"/>
    <cellStyle name="Total 20 3" xfId="27885" xr:uid="{00000000-0005-0000-0000-00004B6E0000}"/>
    <cellStyle name="Total 20 4" xfId="27886" xr:uid="{00000000-0005-0000-0000-00004C6E0000}"/>
    <cellStyle name="Total 20 5" xfId="27887" xr:uid="{00000000-0005-0000-0000-00004D6E0000}"/>
    <cellStyle name="Total 20 6" xfId="27888" xr:uid="{00000000-0005-0000-0000-00004E6E0000}"/>
    <cellStyle name="Total 20 7" xfId="27889" xr:uid="{00000000-0005-0000-0000-00004F6E0000}"/>
    <cellStyle name="Total 20 8" xfId="27890" xr:uid="{00000000-0005-0000-0000-0000506E0000}"/>
    <cellStyle name="Total 20 9" xfId="27891" xr:uid="{00000000-0005-0000-0000-0000516E0000}"/>
    <cellStyle name="Total 21" xfId="27892" xr:uid="{00000000-0005-0000-0000-0000526E0000}"/>
    <cellStyle name="Total 21 10" xfId="27893" xr:uid="{00000000-0005-0000-0000-0000536E0000}"/>
    <cellStyle name="Total 21 11" xfId="27894" xr:uid="{00000000-0005-0000-0000-0000546E0000}"/>
    <cellStyle name="Total 21 12" xfId="27895" xr:uid="{00000000-0005-0000-0000-0000556E0000}"/>
    <cellStyle name="Total 21 13" xfId="27896" xr:uid="{00000000-0005-0000-0000-0000566E0000}"/>
    <cellStyle name="Total 21 14" xfId="27897" xr:uid="{00000000-0005-0000-0000-0000576E0000}"/>
    <cellStyle name="Total 21 15" xfId="27898" xr:uid="{00000000-0005-0000-0000-0000586E0000}"/>
    <cellStyle name="Total 21 2" xfId="27899" xr:uid="{00000000-0005-0000-0000-0000596E0000}"/>
    <cellStyle name="Total 21 2 2" xfId="27900" xr:uid="{00000000-0005-0000-0000-00005A6E0000}"/>
    <cellStyle name="Total 21 2 3" xfId="27901" xr:uid="{00000000-0005-0000-0000-00005B6E0000}"/>
    <cellStyle name="Total 21 2 4" xfId="27902" xr:uid="{00000000-0005-0000-0000-00005C6E0000}"/>
    <cellStyle name="Total 21 2 5" xfId="27903" xr:uid="{00000000-0005-0000-0000-00005D6E0000}"/>
    <cellStyle name="Total 21 2 6" xfId="27904" xr:uid="{00000000-0005-0000-0000-00005E6E0000}"/>
    <cellStyle name="Total 21 2 7" xfId="27905" xr:uid="{00000000-0005-0000-0000-00005F6E0000}"/>
    <cellStyle name="Total 21 3" xfId="27906" xr:uid="{00000000-0005-0000-0000-0000606E0000}"/>
    <cellStyle name="Total 21 4" xfId="27907" xr:uid="{00000000-0005-0000-0000-0000616E0000}"/>
    <cellStyle name="Total 21 5" xfId="27908" xr:uid="{00000000-0005-0000-0000-0000626E0000}"/>
    <cellStyle name="Total 21 6" xfId="27909" xr:uid="{00000000-0005-0000-0000-0000636E0000}"/>
    <cellStyle name="Total 21 7" xfId="27910" xr:uid="{00000000-0005-0000-0000-0000646E0000}"/>
    <cellStyle name="Total 21 8" xfId="27911" xr:uid="{00000000-0005-0000-0000-0000656E0000}"/>
    <cellStyle name="Total 21 9" xfId="27912" xr:uid="{00000000-0005-0000-0000-0000666E0000}"/>
    <cellStyle name="Total 22" xfId="27913" xr:uid="{00000000-0005-0000-0000-0000676E0000}"/>
    <cellStyle name="Total 22 10" xfId="27914" xr:uid="{00000000-0005-0000-0000-0000686E0000}"/>
    <cellStyle name="Total 22 11" xfId="27915" xr:uid="{00000000-0005-0000-0000-0000696E0000}"/>
    <cellStyle name="Total 22 12" xfId="27916" xr:uid="{00000000-0005-0000-0000-00006A6E0000}"/>
    <cellStyle name="Total 22 13" xfId="27917" xr:uid="{00000000-0005-0000-0000-00006B6E0000}"/>
    <cellStyle name="Total 22 14" xfId="27918" xr:uid="{00000000-0005-0000-0000-00006C6E0000}"/>
    <cellStyle name="Total 22 15" xfId="27919" xr:uid="{00000000-0005-0000-0000-00006D6E0000}"/>
    <cellStyle name="Total 22 2" xfId="27920" xr:uid="{00000000-0005-0000-0000-00006E6E0000}"/>
    <cellStyle name="Total 22 2 2" xfId="27921" xr:uid="{00000000-0005-0000-0000-00006F6E0000}"/>
    <cellStyle name="Total 22 2 3" xfId="27922" xr:uid="{00000000-0005-0000-0000-0000706E0000}"/>
    <cellStyle name="Total 22 2 4" xfId="27923" xr:uid="{00000000-0005-0000-0000-0000716E0000}"/>
    <cellStyle name="Total 22 2 5" xfId="27924" xr:uid="{00000000-0005-0000-0000-0000726E0000}"/>
    <cellStyle name="Total 22 2 6" xfId="27925" xr:uid="{00000000-0005-0000-0000-0000736E0000}"/>
    <cellStyle name="Total 22 2 7" xfId="27926" xr:uid="{00000000-0005-0000-0000-0000746E0000}"/>
    <cellStyle name="Total 22 3" xfId="27927" xr:uid="{00000000-0005-0000-0000-0000756E0000}"/>
    <cellStyle name="Total 22 4" xfId="27928" xr:uid="{00000000-0005-0000-0000-0000766E0000}"/>
    <cellStyle name="Total 22 5" xfId="27929" xr:uid="{00000000-0005-0000-0000-0000776E0000}"/>
    <cellStyle name="Total 22 6" xfId="27930" xr:uid="{00000000-0005-0000-0000-0000786E0000}"/>
    <cellStyle name="Total 22 7" xfId="27931" xr:uid="{00000000-0005-0000-0000-0000796E0000}"/>
    <cellStyle name="Total 22 8" xfId="27932" xr:uid="{00000000-0005-0000-0000-00007A6E0000}"/>
    <cellStyle name="Total 22 9" xfId="27933" xr:uid="{00000000-0005-0000-0000-00007B6E0000}"/>
    <cellStyle name="Total 23" xfId="27934" xr:uid="{00000000-0005-0000-0000-00007C6E0000}"/>
    <cellStyle name="Total 23 10" xfId="27935" xr:uid="{00000000-0005-0000-0000-00007D6E0000}"/>
    <cellStyle name="Total 23 11" xfId="27936" xr:uid="{00000000-0005-0000-0000-00007E6E0000}"/>
    <cellStyle name="Total 23 12" xfId="27937" xr:uid="{00000000-0005-0000-0000-00007F6E0000}"/>
    <cellStyle name="Total 23 13" xfId="27938" xr:uid="{00000000-0005-0000-0000-0000806E0000}"/>
    <cellStyle name="Total 23 14" xfId="27939" xr:uid="{00000000-0005-0000-0000-0000816E0000}"/>
    <cellStyle name="Total 23 15" xfId="27940" xr:uid="{00000000-0005-0000-0000-0000826E0000}"/>
    <cellStyle name="Total 23 2" xfId="27941" xr:uid="{00000000-0005-0000-0000-0000836E0000}"/>
    <cellStyle name="Total 23 2 2" xfId="27942" xr:uid="{00000000-0005-0000-0000-0000846E0000}"/>
    <cellStyle name="Total 23 2 3" xfId="27943" xr:uid="{00000000-0005-0000-0000-0000856E0000}"/>
    <cellStyle name="Total 23 2 4" xfId="27944" xr:uid="{00000000-0005-0000-0000-0000866E0000}"/>
    <cellStyle name="Total 23 2 5" xfId="27945" xr:uid="{00000000-0005-0000-0000-0000876E0000}"/>
    <cellStyle name="Total 23 2 6" xfId="27946" xr:uid="{00000000-0005-0000-0000-0000886E0000}"/>
    <cellStyle name="Total 23 2 7" xfId="27947" xr:uid="{00000000-0005-0000-0000-0000896E0000}"/>
    <cellStyle name="Total 23 3" xfId="27948" xr:uid="{00000000-0005-0000-0000-00008A6E0000}"/>
    <cellStyle name="Total 23 4" xfId="27949" xr:uid="{00000000-0005-0000-0000-00008B6E0000}"/>
    <cellStyle name="Total 23 5" xfId="27950" xr:uid="{00000000-0005-0000-0000-00008C6E0000}"/>
    <cellStyle name="Total 23 6" xfId="27951" xr:uid="{00000000-0005-0000-0000-00008D6E0000}"/>
    <cellStyle name="Total 23 7" xfId="27952" xr:uid="{00000000-0005-0000-0000-00008E6E0000}"/>
    <cellStyle name="Total 23 8" xfId="27953" xr:uid="{00000000-0005-0000-0000-00008F6E0000}"/>
    <cellStyle name="Total 23 9" xfId="27954" xr:uid="{00000000-0005-0000-0000-0000906E0000}"/>
    <cellStyle name="Total 24" xfId="27955" xr:uid="{00000000-0005-0000-0000-0000916E0000}"/>
    <cellStyle name="Total 24 10" xfId="27956" xr:uid="{00000000-0005-0000-0000-0000926E0000}"/>
    <cellStyle name="Total 24 11" xfId="27957" xr:uid="{00000000-0005-0000-0000-0000936E0000}"/>
    <cellStyle name="Total 24 12" xfId="27958" xr:uid="{00000000-0005-0000-0000-0000946E0000}"/>
    <cellStyle name="Total 24 13" xfId="27959" xr:uid="{00000000-0005-0000-0000-0000956E0000}"/>
    <cellStyle name="Total 24 14" xfId="27960" xr:uid="{00000000-0005-0000-0000-0000966E0000}"/>
    <cellStyle name="Total 24 15" xfId="27961" xr:uid="{00000000-0005-0000-0000-0000976E0000}"/>
    <cellStyle name="Total 24 2" xfId="27962" xr:uid="{00000000-0005-0000-0000-0000986E0000}"/>
    <cellStyle name="Total 24 2 2" xfId="27963" xr:uid="{00000000-0005-0000-0000-0000996E0000}"/>
    <cellStyle name="Total 24 2 3" xfId="27964" xr:uid="{00000000-0005-0000-0000-00009A6E0000}"/>
    <cellStyle name="Total 24 2 4" xfId="27965" xr:uid="{00000000-0005-0000-0000-00009B6E0000}"/>
    <cellStyle name="Total 24 2 5" xfId="27966" xr:uid="{00000000-0005-0000-0000-00009C6E0000}"/>
    <cellStyle name="Total 24 2 6" xfId="27967" xr:uid="{00000000-0005-0000-0000-00009D6E0000}"/>
    <cellStyle name="Total 24 2 7" xfId="27968" xr:uid="{00000000-0005-0000-0000-00009E6E0000}"/>
    <cellStyle name="Total 24 3" xfId="27969" xr:uid="{00000000-0005-0000-0000-00009F6E0000}"/>
    <cellStyle name="Total 24 4" xfId="27970" xr:uid="{00000000-0005-0000-0000-0000A06E0000}"/>
    <cellStyle name="Total 24 5" xfId="27971" xr:uid="{00000000-0005-0000-0000-0000A16E0000}"/>
    <cellStyle name="Total 24 6" xfId="27972" xr:uid="{00000000-0005-0000-0000-0000A26E0000}"/>
    <cellStyle name="Total 24 7" xfId="27973" xr:uid="{00000000-0005-0000-0000-0000A36E0000}"/>
    <cellStyle name="Total 24 8" xfId="27974" xr:uid="{00000000-0005-0000-0000-0000A46E0000}"/>
    <cellStyle name="Total 24 9" xfId="27975" xr:uid="{00000000-0005-0000-0000-0000A56E0000}"/>
    <cellStyle name="Total 25" xfId="27976" xr:uid="{00000000-0005-0000-0000-0000A66E0000}"/>
    <cellStyle name="Total 25 10" xfId="27977" xr:uid="{00000000-0005-0000-0000-0000A76E0000}"/>
    <cellStyle name="Total 25 11" xfId="27978" xr:uid="{00000000-0005-0000-0000-0000A86E0000}"/>
    <cellStyle name="Total 25 12" xfId="27979" xr:uid="{00000000-0005-0000-0000-0000A96E0000}"/>
    <cellStyle name="Total 25 13" xfId="27980" xr:uid="{00000000-0005-0000-0000-0000AA6E0000}"/>
    <cellStyle name="Total 25 14" xfId="27981" xr:uid="{00000000-0005-0000-0000-0000AB6E0000}"/>
    <cellStyle name="Total 25 15" xfId="27982" xr:uid="{00000000-0005-0000-0000-0000AC6E0000}"/>
    <cellStyle name="Total 25 2" xfId="27983" xr:uid="{00000000-0005-0000-0000-0000AD6E0000}"/>
    <cellStyle name="Total 25 2 2" xfId="27984" xr:uid="{00000000-0005-0000-0000-0000AE6E0000}"/>
    <cellStyle name="Total 25 2 3" xfId="27985" xr:uid="{00000000-0005-0000-0000-0000AF6E0000}"/>
    <cellStyle name="Total 25 2 4" xfId="27986" xr:uid="{00000000-0005-0000-0000-0000B06E0000}"/>
    <cellStyle name="Total 25 2 5" xfId="27987" xr:uid="{00000000-0005-0000-0000-0000B16E0000}"/>
    <cellStyle name="Total 25 2 6" xfId="27988" xr:uid="{00000000-0005-0000-0000-0000B26E0000}"/>
    <cellStyle name="Total 25 2 7" xfId="27989" xr:uid="{00000000-0005-0000-0000-0000B36E0000}"/>
    <cellStyle name="Total 25 3" xfId="27990" xr:uid="{00000000-0005-0000-0000-0000B46E0000}"/>
    <cellStyle name="Total 25 4" xfId="27991" xr:uid="{00000000-0005-0000-0000-0000B56E0000}"/>
    <cellStyle name="Total 25 5" xfId="27992" xr:uid="{00000000-0005-0000-0000-0000B66E0000}"/>
    <cellStyle name="Total 25 6" xfId="27993" xr:uid="{00000000-0005-0000-0000-0000B76E0000}"/>
    <cellStyle name="Total 25 7" xfId="27994" xr:uid="{00000000-0005-0000-0000-0000B86E0000}"/>
    <cellStyle name="Total 25 8" xfId="27995" xr:uid="{00000000-0005-0000-0000-0000B96E0000}"/>
    <cellStyle name="Total 25 9" xfId="27996" xr:uid="{00000000-0005-0000-0000-0000BA6E0000}"/>
    <cellStyle name="Total 26" xfId="27997" xr:uid="{00000000-0005-0000-0000-0000BB6E0000}"/>
    <cellStyle name="Total 26 2" xfId="27998" xr:uid="{00000000-0005-0000-0000-0000BC6E0000}"/>
    <cellStyle name="Total 26 3" xfId="27999" xr:uid="{00000000-0005-0000-0000-0000BD6E0000}"/>
    <cellStyle name="Total 26 4" xfId="28000" xr:uid="{00000000-0005-0000-0000-0000BE6E0000}"/>
    <cellStyle name="Total 26 5" xfId="28001" xr:uid="{00000000-0005-0000-0000-0000BF6E0000}"/>
    <cellStyle name="Total 26 6" xfId="28002" xr:uid="{00000000-0005-0000-0000-0000C06E0000}"/>
    <cellStyle name="Total 26 7" xfId="28003" xr:uid="{00000000-0005-0000-0000-0000C16E0000}"/>
    <cellStyle name="Total 26 8" xfId="28004" xr:uid="{00000000-0005-0000-0000-0000C26E0000}"/>
    <cellStyle name="Total 26 9" xfId="28005" xr:uid="{00000000-0005-0000-0000-0000C36E0000}"/>
    <cellStyle name="Total 27" xfId="28006" xr:uid="{00000000-0005-0000-0000-0000C46E0000}"/>
    <cellStyle name="Total 27 2" xfId="28007" xr:uid="{00000000-0005-0000-0000-0000C56E0000}"/>
    <cellStyle name="Total 27 3" xfId="28008" xr:uid="{00000000-0005-0000-0000-0000C66E0000}"/>
    <cellStyle name="Total 27 4" xfId="28009" xr:uid="{00000000-0005-0000-0000-0000C76E0000}"/>
    <cellStyle name="Total 27 5" xfId="28010" xr:uid="{00000000-0005-0000-0000-0000C86E0000}"/>
    <cellStyle name="Total 27 6" xfId="28011" xr:uid="{00000000-0005-0000-0000-0000C96E0000}"/>
    <cellStyle name="Total 27 7" xfId="28012" xr:uid="{00000000-0005-0000-0000-0000CA6E0000}"/>
    <cellStyle name="Total 27 8" xfId="28013" xr:uid="{00000000-0005-0000-0000-0000CB6E0000}"/>
    <cellStyle name="Total 27 9" xfId="28014" xr:uid="{00000000-0005-0000-0000-0000CC6E0000}"/>
    <cellStyle name="Total 28" xfId="28015" xr:uid="{00000000-0005-0000-0000-0000CD6E0000}"/>
    <cellStyle name="Total 28 2" xfId="28016" xr:uid="{00000000-0005-0000-0000-0000CE6E0000}"/>
    <cellStyle name="Total 28 3" xfId="28017" xr:uid="{00000000-0005-0000-0000-0000CF6E0000}"/>
    <cellStyle name="Total 28 4" xfId="28018" xr:uid="{00000000-0005-0000-0000-0000D06E0000}"/>
    <cellStyle name="Total 28 5" xfId="28019" xr:uid="{00000000-0005-0000-0000-0000D16E0000}"/>
    <cellStyle name="Total 28 6" xfId="28020" xr:uid="{00000000-0005-0000-0000-0000D26E0000}"/>
    <cellStyle name="Total 28 7" xfId="28021" xr:uid="{00000000-0005-0000-0000-0000D36E0000}"/>
    <cellStyle name="Total 28 8" xfId="28022" xr:uid="{00000000-0005-0000-0000-0000D46E0000}"/>
    <cellStyle name="Total 28 9" xfId="28023" xr:uid="{00000000-0005-0000-0000-0000D56E0000}"/>
    <cellStyle name="Total 29" xfId="28024" xr:uid="{00000000-0005-0000-0000-0000D66E0000}"/>
    <cellStyle name="Total 29 2" xfId="28025" xr:uid="{00000000-0005-0000-0000-0000D76E0000}"/>
    <cellStyle name="Total 29 3" xfId="28026" xr:uid="{00000000-0005-0000-0000-0000D86E0000}"/>
    <cellStyle name="Total 29 4" xfId="28027" xr:uid="{00000000-0005-0000-0000-0000D96E0000}"/>
    <cellStyle name="Total 29 5" xfId="28028" xr:uid="{00000000-0005-0000-0000-0000DA6E0000}"/>
    <cellStyle name="Total 29 6" xfId="28029" xr:uid="{00000000-0005-0000-0000-0000DB6E0000}"/>
    <cellStyle name="Total 29 7" xfId="28030" xr:uid="{00000000-0005-0000-0000-0000DC6E0000}"/>
    <cellStyle name="Total 29 8" xfId="28031" xr:uid="{00000000-0005-0000-0000-0000DD6E0000}"/>
    <cellStyle name="Total 29 9" xfId="28032" xr:uid="{00000000-0005-0000-0000-0000DE6E0000}"/>
    <cellStyle name="Total 3" xfId="45" xr:uid="{00000000-0005-0000-0000-0000DF6E0000}"/>
    <cellStyle name="Total 3 10" xfId="28034" xr:uid="{00000000-0005-0000-0000-0000E06E0000}"/>
    <cellStyle name="Total 3 11" xfId="28035" xr:uid="{00000000-0005-0000-0000-0000E16E0000}"/>
    <cellStyle name="Total 3 12" xfId="28036" xr:uid="{00000000-0005-0000-0000-0000E26E0000}"/>
    <cellStyle name="Total 3 13" xfId="28037" xr:uid="{00000000-0005-0000-0000-0000E36E0000}"/>
    <cellStyle name="Total 3 14" xfId="28038" xr:uid="{00000000-0005-0000-0000-0000E46E0000}"/>
    <cellStyle name="Total 3 15" xfId="28039" xr:uid="{00000000-0005-0000-0000-0000E56E0000}"/>
    <cellStyle name="Total 3 16" xfId="28040" xr:uid="{00000000-0005-0000-0000-0000E66E0000}"/>
    <cellStyle name="Total 3 17" xfId="28033" xr:uid="{00000000-0005-0000-0000-0000E76E0000}"/>
    <cellStyle name="Total 3 2" xfId="28041" xr:uid="{00000000-0005-0000-0000-0000E86E0000}"/>
    <cellStyle name="Total 3 2 2" xfId="28042" xr:uid="{00000000-0005-0000-0000-0000E96E0000}"/>
    <cellStyle name="Total 3 2 2 2" xfId="28043" xr:uid="{00000000-0005-0000-0000-0000EA6E0000}"/>
    <cellStyle name="Total 3 2 2 2 2" xfId="28044" xr:uid="{00000000-0005-0000-0000-0000EB6E0000}"/>
    <cellStyle name="Total 3 2 2 2 3" xfId="28045" xr:uid="{00000000-0005-0000-0000-0000EC6E0000}"/>
    <cellStyle name="Total 3 2 2 2 4" xfId="28046" xr:uid="{00000000-0005-0000-0000-0000ED6E0000}"/>
    <cellStyle name="Total 3 2 2 2 5" xfId="28047" xr:uid="{00000000-0005-0000-0000-0000EE6E0000}"/>
    <cellStyle name="Total 3 2 2 2 6" xfId="28048" xr:uid="{00000000-0005-0000-0000-0000EF6E0000}"/>
    <cellStyle name="Total 3 2 2 2 7" xfId="28049" xr:uid="{00000000-0005-0000-0000-0000F06E0000}"/>
    <cellStyle name="Total 3 2 2 3" xfId="28050" xr:uid="{00000000-0005-0000-0000-0000F16E0000}"/>
    <cellStyle name="Total 3 2 2 4" xfId="28051" xr:uid="{00000000-0005-0000-0000-0000F26E0000}"/>
    <cellStyle name="Total 3 2 2 5" xfId="28052" xr:uid="{00000000-0005-0000-0000-0000F36E0000}"/>
    <cellStyle name="Total 3 2 2 6" xfId="28053" xr:uid="{00000000-0005-0000-0000-0000F46E0000}"/>
    <cellStyle name="Total 3 2 2 7" xfId="28054" xr:uid="{00000000-0005-0000-0000-0000F56E0000}"/>
    <cellStyle name="Total 3 2 3" xfId="28055" xr:uid="{00000000-0005-0000-0000-0000F66E0000}"/>
    <cellStyle name="Total 3 2 4" xfId="28056" xr:uid="{00000000-0005-0000-0000-0000F76E0000}"/>
    <cellStyle name="Total 3 2 5" xfId="28057" xr:uid="{00000000-0005-0000-0000-0000F86E0000}"/>
    <cellStyle name="Total 3 2 6" xfId="28058" xr:uid="{00000000-0005-0000-0000-0000F96E0000}"/>
    <cellStyle name="Total 3 2 7" xfId="28059" xr:uid="{00000000-0005-0000-0000-0000FA6E0000}"/>
    <cellStyle name="Total 3 2 8" xfId="28060" xr:uid="{00000000-0005-0000-0000-0000FB6E0000}"/>
    <cellStyle name="Total 3 2 9" xfId="28061" xr:uid="{00000000-0005-0000-0000-0000FC6E0000}"/>
    <cellStyle name="Total 3 3" xfId="28062" xr:uid="{00000000-0005-0000-0000-0000FD6E0000}"/>
    <cellStyle name="Total 3 3 2" xfId="28063" xr:uid="{00000000-0005-0000-0000-0000FE6E0000}"/>
    <cellStyle name="Total 3 3 2 2" xfId="28064" xr:uid="{00000000-0005-0000-0000-0000FF6E0000}"/>
    <cellStyle name="Total 3 3 2 3" xfId="28065" xr:uid="{00000000-0005-0000-0000-0000006F0000}"/>
    <cellStyle name="Total 3 3 2 4" xfId="28066" xr:uid="{00000000-0005-0000-0000-0000016F0000}"/>
    <cellStyle name="Total 3 3 2 5" xfId="28067" xr:uid="{00000000-0005-0000-0000-0000026F0000}"/>
    <cellStyle name="Total 3 3 2 6" xfId="28068" xr:uid="{00000000-0005-0000-0000-0000036F0000}"/>
    <cellStyle name="Total 3 3 2 7" xfId="28069" xr:uid="{00000000-0005-0000-0000-0000046F0000}"/>
    <cellStyle name="Total 3 3 3" xfId="28070" xr:uid="{00000000-0005-0000-0000-0000056F0000}"/>
    <cellStyle name="Total 3 3 4" xfId="28071" xr:uid="{00000000-0005-0000-0000-0000066F0000}"/>
    <cellStyle name="Total 3 3 5" xfId="28072" xr:uid="{00000000-0005-0000-0000-0000076F0000}"/>
    <cellStyle name="Total 3 3 6" xfId="28073" xr:uid="{00000000-0005-0000-0000-0000086F0000}"/>
    <cellStyle name="Total 3 3 7" xfId="28074" xr:uid="{00000000-0005-0000-0000-0000096F0000}"/>
    <cellStyle name="Total 3 4" xfId="28075" xr:uid="{00000000-0005-0000-0000-00000A6F0000}"/>
    <cellStyle name="Total 3 4 2" xfId="28076" xr:uid="{00000000-0005-0000-0000-00000B6F0000}"/>
    <cellStyle name="Total 3 4 2 2" xfId="28077" xr:uid="{00000000-0005-0000-0000-00000C6F0000}"/>
    <cellStyle name="Total 3 4 2 3" xfId="28078" xr:uid="{00000000-0005-0000-0000-00000D6F0000}"/>
    <cellStyle name="Total 3 4 2 4" xfId="28079" xr:uid="{00000000-0005-0000-0000-00000E6F0000}"/>
    <cellStyle name="Total 3 4 2 5" xfId="28080" xr:uid="{00000000-0005-0000-0000-00000F6F0000}"/>
    <cellStyle name="Total 3 4 2 6" xfId="28081" xr:uid="{00000000-0005-0000-0000-0000106F0000}"/>
    <cellStyle name="Total 3 4 2 7" xfId="28082" xr:uid="{00000000-0005-0000-0000-0000116F0000}"/>
    <cellStyle name="Total 3 4 3" xfId="28083" xr:uid="{00000000-0005-0000-0000-0000126F0000}"/>
    <cellStyle name="Total 3 4 4" xfId="28084" xr:uid="{00000000-0005-0000-0000-0000136F0000}"/>
    <cellStyle name="Total 3 4 5" xfId="28085" xr:uid="{00000000-0005-0000-0000-0000146F0000}"/>
    <cellStyle name="Total 3 4 6" xfId="28086" xr:uid="{00000000-0005-0000-0000-0000156F0000}"/>
    <cellStyle name="Total 3 4 7" xfId="28087" xr:uid="{00000000-0005-0000-0000-0000166F0000}"/>
    <cellStyle name="Total 3 5" xfId="28088" xr:uid="{00000000-0005-0000-0000-0000176F0000}"/>
    <cellStyle name="Total 3 5 2" xfId="28089" xr:uid="{00000000-0005-0000-0000-0000186F0000}"/>
    <cellStyle name="Total 3 5 2 2" xfId="28090" xr:uid="{00000000-0005-0000-0000-0000196F0000}"/>
    <cellStyle name="Total 3 5 2 3" xfId="28091" xr:uid="{00000000-0005-0000-0000-00001A6F0000}"/>
    <cellStyle name="Total 3 5 2 4" xfId="28092" xr:uid="{00000000-0005-0000-0000-00001B6F0000}"/>
    <cellStyle name="Total 3 5 2 5" xfId="28093" xr:uid="{00000000-0005-0000-0000-00001C6F0000}"/>
    <cellStyle name="Total 3 5 2 6" xfId="28094" xr:uid="{00000000-0005-0000-0000-00001D6F0000}"/>
    <cellStyle name="Total 3 5 2 7" xfId="28095" xr:uid="{00000000-0005-0000-0000-00001E6F0000}"/>
    <cellStyle name="Total 3 5 3" xfId="28096" xr:uid="{00000000-0005-0000-0000-00001F6F0000}"/>
    <cellStyle name="Total 3 5 4" xfId="28097" xr:uid="{00000000-0005-0000-0000-0000206F0000}"/>
    <cellStyle name="Total 3 5 5" xfId="28098" xr:uid="{00000000-0005-0000-0000-0000216F0000}"/>
    <cellStyle name="Total 3 5 6" xfId="28099" xr:uid="{00000000-0005-0000-0000-0000226F0000}"/>
    <cellStyle name="Total 3 5 7" xfId="28100" xr:uid="{00000000-0005-0000-0000-0000236F0000}"/>
    <cellStyle name="Total 3 6" xfId="28101" xr:uid="{00000000-0005-0000-0000-0000246F0000}"/>
    <cellStyle name="Total 3 6 2" xfId="28102" xr:uid="{00000000-0005-0000-0000-0000256F0000}"/>
    <cellStyle name="Total 3 6 2 2" xfId="28103" xr:uid="{00000000-0005-0000-0000-0000266F0000}"/>
    <cellStyle name="Total 3 6 2 3" xfId="28104" xr:uid="{00000000-0005-0000-0000-0000276F0000}"/>
    <cellStyle name="Total 3 6 2 4" xfId="28105" xr:uid="{00000000-0005-0000-0000-0000286F0000}"/>
    <cellStyle name="Total 3 6 2 5" xfId="28106" xr:uid="{00000000-0005-0000-0000-0000296F0000}"/>
    <cellStyle name="Total 3 6 2 6" xfId="28107" xr:uid="{00000000-0005-0000-0000-00002A6F0000}"/>
    <cellStyle name="Total 3 6 2 7" xfId="28108" xr:uid="{00000000-0005-0000-0000-00002B6F0000}"/>
    <cellStyle name="Total 3 6 3" xfId="28109" xr:uid="{00000000-0005-0000-0000-00002C6F0000}"/>
    <cellStyle name="Total 3 6 4" xfId="28110" xr:uid="{00000000-0005-0000-0000-00002D6F0000}"/>
    <cellStyle name="Total 3 6 5" xfId="28111" xr:uid="{00000000-0005-0000-0000-00002E6F0000}"/>
    <cellStyle name="Total 3 6 6" xfId="28112" xr:uid="{00000000-0005-0000-0000-00002F6F0000}"/>
    <cellStyle name="Total 3 6 7" xfId="28113" xr:uid="{00000000-0005-0000-0000-0000306F0000}"/>
    <cellStyle name="Total 3 7" xfId="28114" xr:uid="{00000000-0005-0000-0000-0000316F0000}"/>
    <cellStyle name="Total 3 7 2" xfId="28115" xr:uid="{00000000-0005-0000-0000-0000326F0000}"/>
    <cellStyle name="Total 3 7 2 2" xfId="28116" xr:uid="{00000000-0005-0000-0000-0000336F0000}"/>
    <cellStyle name="Total 3 7 2 3" xfId="28117" xr:uid="{00000000-0005-0000-0000-0000346F0000}"/>
    <cellStyle name="Total 3 7 2 4" xfId="28118" xr:uid="{00000000-0005-0000-0000-0000356F0000}"/>
    <cellStyle name="Total 3 7 2 5" xfId="28119" xr:uid="{00000000-0005-0000-0000-0000366F0000}"/>
    <cellStyle name="Total 3 7 2 6" xfId="28120" xr:uid="{00000000-0005-0000-0000-0000376F0000}"/>
    <cellStyle name="Total 3 7 2 7" xfId="28121" xr:uid="{00000000-0005-0000-0000-0000386F0000}"/>
    <cellStyle name="Total 3 7 3" xfId="28122" xr:uid="{00000000-0005-0000-0000-0000396F0000}"/>
    <cellStyle name="Total 3 7 4" xfId="28123" xr:uid="{00000000-0005-0000-0000-00003A6F0000}"/>
    <cellStyle name="Total 3 7 5" xfId="28124" xr:uid="{00000000-0005-0000-0000-00003B6F0000}"/>
    <cellStyle name="Total 3 7 6" xfId="28125" xr:uid="{00000000-0005-0000-0000-00003C6F0000}"/>
    <cellStyle name="Total 3 7 7" xfId="28126" xr:uid="{00000000-0005-0000-0000-00003D6F0000}"/>
    <cellStyle name="Total 3 8" xfId="28127" xr:uid="{00000000-0005-0000-0000-00003E6F0000}"/>
    <cellStyle name="Total 3 8 2" xfId="28128" xr:uid="{00000000-0005-0000-0000-00003F6F0000}"/>
    <cellStyle name="Total 3 8 2 2" xfId="28129" xr:uid="{00000000-0005-0000-0000-0000406F0000}"/>
    <cellStyle name="Total 3 8 2 3" xfId="28130" xr:uid="{00000000-0005-0000-0000-0000416F0000}"/>
    <cellStyle name="Total 3 8 2 4" xfId="28131" xr:uid="{00000000-0005-0000-0000-0000426F0000}"/>
    <cellStyle name="Total 3 8 2 5" xfId="28132" xr:uid="{00000000-0005-0000-0000-0000436F0000}"/>
    <cellStyle name="Total 3 8 2 6" xfId="28133" xr:uid="{00000000-0005-0000-0000-0000446F0000}"/>
    <cellStyle name="Total 3 8 2 7" xfId="28134" xr:uid="{00000000-0005-0000-0000-0000456F0000}"/>
    <cellStyle name="Total 3 8 3" xfId="28135" xr:uid="{00000000-0005-0000-0000-0000466F0000}"/>
    <cellStyle name="Total 3 8 4" xfId="28136" xr:uid="{00000000-0005-0000-0000-0000476F0000}"/>
    <cellStyle name="Total 3 8 5" xfId="28137" xr:uid="{00000000-0005-0000-0000-0000486F0000}"/>
    <cellStyle name="Total 3 8 6" xfId="28138" xr:uid="{00000000-0005-0000-0000-0000496F0000}"/>
    <cellStyle name="Total 3 8 7" xfId="28139" xr:uid="{00000000-0005-0000-0000-00004A6F0000}"/>
    <cellStyle name="Total 3 9" xfId="28140" xr:uid="{00000000-0005-0000-0000-00004B6F0000}"/>
    <cellStyle name="Total 3 9 2" xfId="28141" xr:uid="{00000000-0005-0000-0000-00004C6F0000}"/>
    <cellStyle name="Total 3 9 3" xfId="28142" xr:uid="{00000000-0005-0000-0000-00004D6F0000}"/>
    <cellStyle name="Total 3 9 4" xfId="28143" xr:uid="{00000000-0005-0000-0000-00004E6F0000}"/>
    <cellStyle name="Total 3 9 5" xfId="28144" xr:uid="{00000000-0005-0000-0000-00004F6F0000}"/>
    <cellStyle name="Total 3 9 6" xfId="28145" xr:uid="{00000000-0005-0000-0000-0000506F0000}"/>
    <cellStyle name="Total 3 9 7" xfId="28146" xr:uid="{00000000-0005-0000-0000-0000516F0000}"/>
    <cellStyle name="Total 30" xfId="28147" xr:uid="{00000000-0005-0000-0000-0000526F0000}"/>
    <cellStyle name="Total 30 2" xfId="28148" xr:uid="{00000000-0005-0000-0000-0000536F0000}"/>
    <cellStyle name="Total 30 3" xfId="28149" xr:uid="{00000000-0005-0000-0000-0000546F0000}"/>
    <cellStyle name="Total 30 4" xfId="28150" xr:uid="{00000000-0005-0000-0000-0000556F0000}"/>
    <cellStyle name="Total 30 5" xfId="28151" xr:uid="{00000000-0005-0000-0000-0000566F0000}"/>
    <cellStyle name="Total 30 6" xfId="28152" xr:uid="{00000000-0005-0000-0000-0000576F0000}"/>
    <cellStyle name="Total 30 7" xfId="28153" xr:uid="{00000000-0005-0000-0000-0000586F0000}"/>
    <cellStyle name="Total 30 8" xfId="28154" xr:uid="{00000000-0005-0000-0000-0000596F0000}"/>
    <cellStyle name="Total 30 9" xfId="28155" xr:uid="{00000000-0005-0000-0000-00005A6F0000}"/>
    <cellStyle name="Total 31" xfId="28156" xr:uid="{00000000-0005-0000-0000-00005B6F0000}"/>
    <cellStyle name="Total 31 2" xfId="28157" xr:uid="{00000000-0005-0000-0000-00005C6F0000}"/>
    <cellStyle name="Total 31 3" xfId="28158" xr:uid="{00000000-0005-0000-0000-00005D6F0000}"/>
    <cellStyle name="Total 31 4" xfId="28159" xr:uid="{00000000-0005-0000-0000-00005E6F0000}"/>
    <cellStyle name="Total 31 5" xfId="28160" xr:uid="{00000000-0005-0000-0000-00005F6F0000}"/>
    <cellStyle name="Total 31 6" xfId="28161" xr:uid="{00000000-0005-0000-0000-0000606F0000}"/>
    <cellStyle name="Total 31 7" xfId="28162" xr:uid="{00000000-0005-0000-0000-0000616F0000}"/>
    <cellStyle name="Total 31 8" xfId="28163" xr:uid="{00000000-0005-0000-0000-0000626F0000}"/>
    <cellStyle name="Total 31 9" xfId="28164" xr:uid="{00000000-0005-0000-0000-0000636F0000}"/>
    <cellStyle name="Total 32" xfId="28165" xr:uid="{00000000-0005-0000-0000-0000646F0000}"/>
    <cellStyle name="Total 32 2" xfId="28166" xr:uid="{00000000-0005-0000-0000-0000656F0000}"/>
    <cellStyle name="Total 32 3" xfId="28167" xr:uid="{00000000-0005-0000-0000-0000666F0000}"/>
    <cellStyle name="Total 32 4" xfId="28168" xr:uid="{00000000-0005-0000-0000-0000676F0000}"/>
    <cellStyle name="Total 32 5" xfId="28169" xr:uid="{00000000-0005-0000-0000-0000686F0000}"/>
    <cellStyle name="Total 32 6" xfId="28170" xr:uid="{00000000-0005-0000-0000-0000696F0000}"/>
    <cellStyle name="Total 32 7" xfId="28171" xr:uid="{00000000-0005-0000-0000-00006A6F0000}"/>
    <cellStyle name="Total 32 8" xfId="28172" xr:uid="{00000000-0005-0000-0000-00006B6F0000}"/>
    <cellStyle name="Total 32 9" xfId="28173" xr:uid="{00000000-0005-0000-0000-00006C6F0000}"/>
    <cellStyle name="Total 33" xfId="28174" xr:uid="{00000000-0005-0000-0000-00006D6F0000}"/>
    <cellStyle name="Total 33 2" xfId="28175" xr:uid="{00000000-0005-0000-0000-00006E6F0000}"/>
    <cellStyle name="Total 33 3" xfId="28176" xr:uid="{00000000-0005-0000-0000-00006F6F0000}"/>
    <cellStyle name="Total 33 4" xfId="28177" xr:uid="{00000000-0005-0000-0000-0000706F0000}"/>
    <cellStyle name="Total 33 5" xfId="28178" xr:uid="{00000000-0005-0000-0000-0000716F0000}"/>
    <cellStyle name="Total 33 6" xfId="28179" xr:uid="{00000000-0005-0000-0000-0000726F0000}"/>
    <cellStyle name="Total 33 7" xfId="28180" xr:uid="{00000000-0005-0000-0000-0000736F0000}"/>
    <cellStyle name="Total 33 8" xfId="28181" xr:uid="{00000000-0005-0000-0000-0000746F0000}"/>
    <cellStyle name="Total 33 9" xfId="28182" xr:uid="{00000000-0005-0000-0000-0000756F0000}"/>
    <cellStyle name="Total 34" xfId="28183" xr:uid="{00000000-0005-0000-0000-0000766F0000}"/>
    <cellStyle name="Total 34 2" xfId="28184" xr:uid="{00000000-0005-0000-0000-0000776F0000}"/>
    <cellStyle name="Total 34 3" xfId="28185" xr:uid="{00000000-0005-0000-0000-0000786F0000}"/>
    <cellStyle name="Total 34 4" xfId="28186" xr:uid="{00000000-0005-0000-0000-0000796F0000}"/>
    <cellStyle name="Total 34 5" xfId="28187" xr:uid="{00000000-0005-0000-0000-00007A6F0000}"/>
    <cellStyle name="Total 34 6" xfId="28188" xr:uid="{00000000-0005-0000-0000-00007B6F0000}"/>
    <cellStyle name="Total 34 7" xfId="28189" xr:uid="{00000000-0005-0000-0000-00007C6F0000}"/>
    <cellStyle name="Total 34 8" xfId="28190" xr:uid="{00000000-0005-0000-0000-00007D6F0000}"/>
    <cellStyle name="Total 34 9" xfId="28191" xr:uid="{00000000-0005-0000-0000-00007E6F0000}"/>
    <cellStyle name="Total 35" xfId="28192" xr:uid="{00000000-0005-0000-0000-00007F6F0000}"/>
    <cellStyle name="Total 35 2" xfId="28193" xr:uid="{00000000-0005-0000-0000-0000806F0000}"/>
    <cellStyle name="Total 35 3" xfId="28194" xr:uid="{00000000-0005-0000-0000-0000816F0000}"/>
    <cellStyle name="Total 35 4" xfId="28195" xr:uid="{00000000-0005-0000-0000-0000826F0000}"/>
    <cellStyle name="Total 35 5" xfId="28196" xr:uid="{00000000-0005-0000-0000-0000836F0000}"/>
    <cellStyle name="Total 35 6" xfId="28197" xr:uid="{00000000-0005-0000-0000-0000846F0000}"/>
    <cellStyle name="Total 35 7" xfId="28198" xr:uid="{00000000-0005-0000-0000-0000856F0000}"/>
    <cellStyle name="Total 35 8" xfId="28199" xr:uid="{00000000-0005-0000-0000-0000866F0000}"/>
    <cellStyle name="Total 35 9" xfId="28200" xr:uid="{00000000-0005-0000-0000-0000876F0000}"/>
    <cellStyle name="Total 36" xfId="28201" xr:uid="{00000000-0005-0000-0000-0000886F0000}"/>
    <cellStyle name="Total 36 2" xfId="28202" xr:uid="{00000000-0005-0000-0000-0000896F0000}"/>
    <cellStyle name="Total 36 3" xfId="28203" xr:uid="{00000000-0005-0000-0000-00008A6F0000}"/>
    <cellStyle name="Total 36 4" xfId="28204" xr:uid="{00000000-0005-0000-0000-00008B6F0000}"/>
    <cellStyle name="Total 36 5" xfId="28205" xr:uid="{00000000-0005-0000-0000-00008C6F0000}"/>
    <cellStyle name="Total 36 6" xfId="28206" xr:uid="{00000000-0005-0000-0000-00008D6F0000}"/>
    <cellStyle name="Total 36 7" xfId="28207" xr:uid="{00000000-0005-0000-0000-00008E6F0000}"/>
    <cellStyle name="Total 36 8" xfId="28208" xr:uid="{00000000-0005-0000-0000-00008F6F0000}"/>
    <cellStyle name="Total 36 9" xfId="28209" xr:uid="{00000000-0005-0000-0000-0000906F0000}"/>
    <cellStyle name="Total 37" xfId="28210" xr:uid="{00000000-0005-0000-0000-0000916F0000}"/>
    <cellStyle name="Total 37 2" xfId="28211" xr:uid="{00000000-0005-0000-0000-0000926F0000}"/>
    <cellStyle name="Total 37 3" xfId="28212" xr:uid="{00000000-0005-0000-0000-0000936F0000}"/>
    <cellStyle name="Total 37 4" xfId="28213" xr:uid="{00000000-0005-0000-0000-0000946F0000}"/>
    <cellStyle name="Total 37 5" xfId="28214" xr:uid="{00000000-0005-0000-0000-0000956F0000}"/>
    <cellStyle name="Total 37 6" xfId="28215" xr:uid="{00000000-0005-0000-0000-0000966F0000}"/>
    <cellStyle name="Total 37 7" xfId="28216" xr:uid="{00000000-0005-0000-0000-0000976F0000}"/>
    <cellStyle name="Total 37 8" xfId="28217" xr:uid="{00000000-0005-0000-0000-0000986F0000}"/>
    <cellStyle name="Total 37 9" xfId="28218" xr:uid="{00000000-0005-0000-0000-0000996F0000}"/>
    <cellStyle name="Total 38" xfId="28219" xr:uid="{00000000-0005-0000-0000-00009A6F0000}"/>
    <cellStyle name="Total 38 2" xfId="28220" xr:uid="{00000000-0005-0000-0000-00009B6F0000}"/>
    <cellStyle name="Total 38 3" xfId="28221" xr:uid="{00000000-0005-0000-0000-00009C6F0000}"/>
    <cellStyle name="Total 38 4" xfId="28222" xr:uid="{00000000-0005-0000-0000-00009D6F0000}"/>
    <cellStyle name="Total 38 5" xfId="28223" xr:uid="{00000000-0005-0000-0000-00009E6F0000}"/>
    <cellStyle name="Total 38 6" xfId="28224" xr:uid="{00000000-0005-0000-0000-00009F6F0000}"/>
    <cellStyle name="Total 38 7" xfId="28225" xr:uid="{00000000-0005-0000-0000-0000A06F0000}"/>
    <cellStyle name="Total 38 8" xfId="28226" xr:uid="{00000000-0005-0000-0000-0000A16F0000}"/>
    <cellStyle name="Total 38 9" xfId="28227" xr:uid="{00000000-0005-0000-0000-0000A26F0000}"/>
    <cellStyle name="Total 39" xfId="28228" xr:uid="{00000000-0005-0000-0000-0000A36F0000}"/>
    <cellStyle name="Total 39 2" xfId="28229" xr:uid="{00000000-0005-0000-0000-0000A46F0000}"/>
    <cellStyle name="Total 39 3" xfId="28230" xr:uid="{00000000-0005-0000-0000-0000A56F0000}"/>
    <cellStyle name="Total 39 4" xfId="28231" xr:uid="{00000000-0005-0000-0000-0000A66F0000}"/>
    <cellStyle name="Total 39 5" xfId="28232" xr:uid="{00000000-0005-0000-0000-0000A76F0000}"/>
    <cellStyle name="Total 39 6" xfId="28233" xr:uid="{00000000-0005-0000-0000-0000A86F0000}"/>
    <cellStyle name="Total 39 7" xfId="28234" xr:uid="{00000000-0005-0000-0000-0000A96F0000}"/>
    <cellStyle name="Total 39 8" xfId="28235" xr:uid="{00000000-0005-0000-0000-0000AA6F0000}"/>
    <cellStyle name="Total 39 9" xfId="28236" xr:uid="{00000000-0005-0000-0000-0000AB6F0000}"/>
    <cellStyle name="Total 4" xfId="46" xr:uid="{00000000-0005-0000-0000-0000AC6F0000}"/>
    <cellStyle name="Total 4 10" xfId="28238" xr:uid="{00000000-0005-0000-0000-0000AD6F0000}"/>
    <cellStyle name="Total 4 11" xfId="28239" xr:uid="{00000000-0005-0000-0000-0000AE6F0000}"/>
    <cellStyle name="Total 4 12" xfId="28240" xr:uid="{00000000-0005-0000-0000-0000AF6F0000}"/>
    <cellStyle name="Total 4 13" xfId="28241" xr:uid="{00000000-0005-0000-0000-0000B06F0000}"/>
    <cellStyle name="Total 4 14" xfId="28242" xr:uid="{00000000-0005-0000-0000-0000B16F0000}"/>
    <cellStyle name="Total 4 15" xfId="28243" xr:uid="{00000000-0005-0000-0000-0000B26F0000}"/>
    <cellStyle name="Total 4 16" xfId="28237" xr:uid="{00000000-0005-0000-0000-0000B36F0000}"/>
    <cellStyle name="Total 4 2" xfId="28244" xr:uid="{00000000-0005-0000-0000-0000B46F0000}"/>
    <cellStyle name="Total 4 2 2" xfId="28245" xr:uid="{00000000-0005-0000-0000-0000B56F0000}"/>
    <cellStyle name="Total 4 2 2 2" xfId="28246" xr:uid="{00000000-0005-0000-0000-0000B66F0000}"/>
    <cellStyle name="Total 4 2 2 2 2" xfId="28247" xr:uid="{00000000-0005-0000-0000-0000B76F0000}"/>
    <cellStyle name="Total 4 2 2 2 3" xfId="28248" xr:uid="{00000000-0005-0000-0000-0000B86F0000}"/>
    <cellStyle name="Total 4 2 2 2 4" xfId="28249" xr:uid="{00000000-0005-0000-0000-0000B96F0000}"/>
    <cellStyle name="Total 4 2 2 2 5" xfId="28250" xr:uid="{00000000-0005-0000-0000-0000BA6F0000}"/>
    <cellStyle name="Total 4 2 2 2 6" xfId="28251" xr:uid="{00000000-0005-0000-0000-0000BB6F0000}"/>
    <cellStyle name="Total 4 2 2 2 7" xfId="28252" xr:uid="{00000000-0005-0000-0000-0000BC6F0000}"/>
    <cellStyle name="Total 4 2 2 3" xfId="28253" xr:uid="{00000000-0005-0000-0000-0000BD6F0000}"/>
    <cellStyle name="Total 4 2 2 4" xfId="28254" xr:uid="{00000000-0005-0000-0000-0000BE6F0000}"/>
    <cellStyle name="Total 4 2 2 5" xfId="28255" xr:uid="{00000000-0005-0000-0000-0000BF6F0000}"/>
    <cellStyle name="Total 4 2 2 6" xfId="28256" xr:uid="{00000000-0005-0000-0000-0000C06F0000}"/>
    <cellStyle name="Total 4 2 2 7" xfId="28257" xr:uid="{00000000-0005-0000-0000-0000C16F0000}"/>
    <cellStyle name="Total 4 2 3" xfId="28258" xr:uid="{00000000-0005-0000-0000-0000C26F0000}"/>
    <cellStyle name="Total 4 2 4" xfId="28259" xr:uid="{00000000-0005-0000-0000-0000C36F0000}"/>
    <cellStyle name="Total 4 2 5" xfId="28260" xr:uid="{00000000-0005-0000-0000-0000C46F0000}"/>
    <cellStyle name="Total 4 2 6" xfId="28261" xr:uid="{00000000-0005-0000-0000-0000C56F0000}"/>
    <cellStyle name="Total 4 2 7" xfId="28262" xr:uid="{00000000-0005-0000-0000-0000C66F0000}"/>
    <cellStyle name="Total 4 2 8" xfId="28263" xr:uid="{00000000-0005-0000-0000-0000C76F0000}"/>
    <cellStyle name="Total 4 2 9" xfId="28264" xr:uid="{00000000-0005-0000-0000-0000C86F0000}"/>
    <cellStyle name="Total 4 3" xfId="28265" xr:uid="{00000000-0005-0000-0000-0000C96F0000}"/>
    <cellStyle name="Total 4 3 2" xfId="28266" xr:uid="{00000000-0005-0000-0000-0000CA6F0000}"/>
    <cellStyle name="Total 4 3 2 2" xfId="28267" xr:uid="{00000000-0005-0000-0000-0000CB6F0000}"/>
    <cellStyle name="Total 4 3 2 3" xfId="28268" xr:uid="{00000000-0005-0000-0000-0000CC6F0000}"/>
    <cellStyle name="Total 4 3 2 4" xfId="28269" xr:uid="{00000000-0005-0000-0000-0000CD6F0000}"/>
    <cellStyle name="Total 4 3 2 5" xfId="28270" xr:uid="{00000000-0005-0000-0000-0000CE6F0000}"/>
    <cellStyle name="Total 4 3 2 6" xfId="28271" xr:uid="{00000000-0005-0000-0000-0000CF6F0000}"/>
    <cellStyle name="Total 4 3 2 7" xfId="28272" xr:uid="{00000000-0005-0000-0000-0000D06F0000}"/>
    <cellStyle name="Total 4 3 3" xfId="28273" xr:uid="{00000000-0005-0000-0000-0000D16F0000}"/>
    <cellStyle name="Total 4 3 4" xfId="28274" xr:uid="{00000000-0005-0000-0000-0000D26F0000}"/>
    <cellStyle name="Total 4 3 5" xfId="28275" xr:uid="{00000000-0005-0000-0000-0000D36F0000}"/>
    <cellStyle name="Total 4 3 6" xfId="28276" xr:uid="{00000000-0005-0000-0000-0000D46F0000}"/>
    <cellStyle name="Total 4 3 7" xfId="28277" xr:uid="{00000000-0005-0000-0000-0000D56F0000}"/>
    <cellStyle name="Total 4 4" xfId="28278" xr:uid="{00000000-0005-0000-0000-0000D66F0000}"/>
    <cellStyle name="Total 4 4 2" xfId="28279" xr:uid="{00000000-0005-0000-0000-0000D76F0000}"/>
    <cellStyle name="Total 4 4 2 2" xfId="28280" xr:uid="{00000000-0005-0000-0000-0000D86F0000}"/>
    <cellStyle name="Total 4 4 2 3" xfId="28281" xr:uid="{00000000-0005-0000-0000-0000D96F0000}"/>
    <cellStyle name="Total 4 4 2 4" xfId="28282" xr:uid="{00000000-0005-0000-0000-0000DA6F0000}"/>
    <cellStyle name="Total 4 4 2 5" xfId="28283" xr:uid="{00000000-0005-0000-0000-0000DB6F0000}"/>
    <cellStyle name="Total 4 4 2 6" xfId="28284" xr:uid="{00000000-0005-0000-0000-0000DC6F0000}"/>
    <cellStyle name="Total 4 4 2 7" xfId="28285" xr:uid="{00000000-0005-0000-0000-0000DD6F0000}"/>
    <cellStyle name="Total 4 4 3" xfId="28286" xr:uid="{00000000-0005-0000-0000-0000DE6F0000}"/>
    <cellStyle name="Total 4 4 4" xfId="28287" xr:uid="{00000000-0005-0000-0000-0000DF6F0000}"/>
    <cellStyle name="Total 4 4 5" xfId="28288" xr:uid="{00000000-0005-0000-0000-0000E06F0000}"/>
    <cellStyle name="Total 4 4 6" xfId="28289" xr:uid="{00000000-0005-0000-0000-0000E16F0000}"/>
    <cellStyle name="Total 4 4 7" xfId="28290" xr:uid="{00000000-0005-0000-0000-0000E26F0000}"/>
    <cellStyle name="Total 4 5" xfId="28291" xr:uid="{00000000-0005-0000-0000-0000E36F0000}"/>
    <cellStyle name="Total 4 5 2" xfId="28292" xr:uid="{00000000-0005-0000-0000-0000E46F0000}"/>
    <cellStyle name="Total 4 5 2 2" xfId="28293" xr:uid="{00000000-0005-0000-0000-0000E56F0000}"/>
    <cellStyle name="Total 4 5 2 3" xfId="28294" xr:uid="{00000000-0005-0000-0000-0000E66F0000}"/>
    <cellStyle name="Total 4 5 2 4" xfId="28295" xr:uid="{00000000-0005-0000-0000-0000E76F0000}"/>
    <cellStyle name="Total 4 5 2 5" xfId="28296" xr:uid="{00000000-0005-0000-0000-0000E86F0000}"/>
    <cellStyle name="Total 4 5 2 6" xfId="28297" xr:uid="{00000000-0005-0000-0000-0000E96F0000}"/>
    <cellStyle name="Total 4 5 2 7" xfId="28298" xr:uid="{00000000-0005-0000-0000-0000EA6F0000}"/>
    <cellStyle name="Total 4 5 3" xfId="28299" xr:uid="{00000000-0005-0000-0000-0000EB6F0000}"/>
    <cellStyle name="Total 4 5 4" xfId="28300" xr:uid="{00000000-0005-0000-0000-0000EC6F0000}"/>
    <cellStyle name="Total 4 5 5" xfId="28301" xr:uid="{00000000-0005-0000-0000-0000ED6F0000}"/>
    <cellStyle name="Total 4 5 6" xfId="28302" xr:uid="{00000000-0005-0000-0000-0000EE6F0000}"/>
    <cellStyle name="Total 4 5 7" xfId="28303" xr:uid="{00000000-0005-0000-0000-0000EF6F0000}"/>
    <cellStyle name="Total 4 6" xfId="28304" xr:uid="{00000000-0005-0000-0000-0000F06F0000}"/>
    <cellStyle name="Total 4 6 2" xfId="28305" xr:uid="{00000000-0005-0000-0000-0000F16F0000}"/>
    <cellStyle name="Total 4 6 2 2" xfId="28306" xr:uid="{00000000-0005-0000-0000-0000F26F0000}"/>
    <cellStyle name="Total 4 6 2 3" xfId="28307" xr:uid="{00000000-0005-0000-0000-0000F36F0000}"/>
    <cellStyle name="Total 4 6 2 4" xfId="28308" xr:uid="{00000000-0005-0000-0000-0000F46F0000}"/>
    <cellStyle name="Total 4 6 2 5" xfId="28309" xr:uid="{00000000-0005-0000-0000-0000F56F0000}"/>
    <cellStyle name="Total 4 6 2 6" xfId="28310" xr:uid="{00000000-0005-0000-0000-0000F66F0000}"/>
    <cellStyle name="Total 4 6 2 7" xfId="28311" xr:uid="{00000000-0005-0000-0000-0000F76F0000}"/>
    <cellStyle name="Total 4 6 3" xfId="28312" xr:uid="{00000000-0005-0000-0000-0000F86F0000}"/>
    <cellStyle name="Total 4 6 4" xfId="28313" xr:uid="{00000000-0005-0000-0000-0000F96F0000}"/>
    <cellStyle name="Total 4 6 5" xfId="28314" xr:uid="{00000000-0005-0000-0000-0000FA6F0000}"/>
    <cellStyle name="Total 4 6 6" xfId="28315" xr:uid="{00000000-0005-0000-0000-0000FB6F0000}"/>
    <cellStyle name="Total 4 6 7" xfId="28316" xr:uid="{00000000-0005-0000-0000-0000FC6F0000}"/>
    <cellStyle name="Total 4 7" xfId="28317" xr:uid="{00000000-0005-0000-0000-0000FD6F0000}"/>
    <cellStyle name="Total 4 7 2" xfId="28318" xr:uid="{00000000-0005-0000-0000-0000FE6F0000}"/>
    <cellStyle name="Total 4 7 2 2" xfId="28319" xr:uid="{00000000-0005-0000-0000-0000FF6F0000}"/>
    <cellStyle name="Total 4 7 2 3" xfId="28320" xr:uid="{00000000-0005-0000-0000-000000700000}"/>
    <cellStyle name="Total 4 7 2 4" xfId="28321" xr:uid="{00000000-0005-0000-0000-000001700000}"/>
    <cellStyle name="Total 4 7 2 5" xfId="28322" xr:uid="{00000000-0005-0000-0000-000002700000}"/>
    <cellStyle name="Total 4 7 2 6" xfId="28323" xr:uid="{00000000-0005-0000-0000-000003700000}"/>
    <cellStyle name="Total 4 7 2 7" xfId="28324" xr:uid="{00000000-0005-0000-0000-000004700000}"/>
    <cellStyle name="Total 4 7 3" xfId="28325" xr:uid="{00000000-0005-0000-0000-000005700000}"/>
    <cellStyle name="Total 4 7 4" xfId="28326" xr:uid="{00000000-0005-0000-0000-000006700000}"/>
    <cellStyle name="Total 4 7 5" xfId="28327" xr:uid="{00000000-0005-0000-0000-000007700000}"/>
    <cellStyle name="Total 4 7 6" xfId="28328" xr:uid="{00000000-0005-0000-0000-000008700000}"/>
    <cellStyle name="Total 4 7 7" xfId="28329" xr:uid="{00000000-0005-0000-0000-000009700000}"/>
    <cellStyle name="Total 4 8" xfId="28330" xr:uid="{00000000-0005-0000-0000-00000A700000}"/>
    <cellStyle name="Total 4 8 2" xfId="28331" xr:uid="{00000000-0005-0000-0000-00000B700000}"/>
    <cellStyle name="Total 4 8 2 2" xfId="28332" xr:uid="{00000000-0005-0000-0000-00000C700000}"/>
    <cellStyle name="Total 4 8 2 3" xfId="28333" xr:uid="{00000000-0005-0000-0000-00000D700000}"/>
    <cellStyle name="Total 4 8 2 4" xfId="28334" xr:uid="{00000000-0005-0000-0000-00000E700000}"/>
    <cellStyle name="Total 4 8 2 5" xfId="28335" xr:uid="{00000000-0005-0000-0000-00000F700000}"/>
    <cellStyle name="Total 4 8 2 6" xfId="28336" xr:uid="{00000000-0005-0000-0000-000010700000}"/>
    <cellStyle name="Total 4 8 2 7" xfId="28337" xr:uid="{00000000-0005-0000-0000-000011700000}"/>
    <cellStyle name="Total 4 8 3" xfId="28338" xr:uid="{00000000-0005-0000-0000-000012700000}"/>
    <cellStyle name="Total 4 8 4" xfId="28339" xr:uid="{00000000-0005-0000-0000-000013700000}"/>
    <cellStyle name="Total 4 8 5" xfId="28340" xr:uid="{00000000-0005-0000-0000-000014700000}"/>
    <cellStyle name="Total 4 8 6" xfId="28341" xr:uid="{00000000-0005-0000-0000-000015700000}"/>
    <cellStyle name="Total 4 8 7" xfId="28342" xr:uid="{00000000-0005-0000-0000-000016700000}"/>
    <cellStyle name="Total 4 9" xfId="28343" xr:uid="{00000000-0005-0000-0000-000017700000}"/>
    <cellStyle name="Total 4 9 2" xfId="28344" xr:uid="{00000000-0005-0000-0000-000018700000}"/>
    <cellStyle name="Total 4 9 3" xfId="28345" xr:uid="{00000000-0005-0000-0000-000019700000}"/>
    <cellStyle name="Total 4 9 4" xfId="28346" xr:uid="{00000000-0005-0000-0000-00001A700000}"/>
    <cellStyle name="Total 4 9 5" xfId="28347" xr:uid="{00000000-0005-0000-0000-00001B700000}"/>
    <cellStyle name="Total 4 9 6" xfId="28348" xr:uid="{00000000-0005-0000-0000-00001C700000}"/>
    <cellStyle name="Total 4 9 7" xfId="28349" xr:uid="{00000000-0005-0000-0000-00001D700000}"/>
    <cellStyle name="Total 40" xfId="28350" xr:uid="{00000000-0005-0000-0000-00001E700000}"/>
    <cellStyle name="Total 40 2" xfId="28351" xr:uid="{00000000-0005-0000-0000-00001F700000}"/>
    <cellStyle name="Total 40 3" xfId="28352" xr:uid="{00000000-0005-0000-0000-000020700000}"/>
    <cellStyle name="Total 40 4" xfId="28353" xr:uid="{00000000-0005-0000-0000-000021700000}"/>
    <cellStyle name="Total 40 5" xfId="28354" xr:uid="{00000000-0005-0000-0000-000022700000}"/>
    <cellStyle name="Total 40 6" xfId="28355" xr:uid="{00000000-0005-0000-0000-000023700000}"/>
    <cellStyle name="Total 40 7" xfId="28356" xr:uid="{00000000-0005-0000-0000-000024700000}"/>
    <cellStyle name="Total 40 8" xfId="28357" xr:uid="{00000000-0005-0000-0000-000025700000}"/>
    <cellStyle name="Total 40 9" xfId="28358" xr:uid="{00000000-0005-0000-0000-000026700000}"/>
    <cellStyle name="Total 41" xfId="28359" xr:uid="{00000000-0005-0000-0000-000027700000}"/>
    <cellStyle name="Total 41 2" xfId="28360" xr:uid="{00000000-0005-0000-0000-000028700000}"/>
    <cellStyle name="Total 41 3" xfId="28361" xr:uid="{00000000-0005-0000-0000-000029700000}"/>
    <cellStyle name="Total 41 4" xfId="28362" xr:uid="{00000000-0005-0000-0000-00002A700000}"/>
    <cellStyle name="Total 41 5" xfId="28363" xr:uid="{00000000-0005-0000-0000-00002B700000}"/>
    <cellStyle name="Total 41 6" xfId="28364" xr:uid="{00000000-0005-0000-0000-00002C700000}"/>
    <cellStyle name="Total 41 7" xfId="28365" xr:uid="{00000000-0005-0000-0000-00002D700000}"/>
    <cellStyle name="Total 41 8" xfId="28366" xr:uid="{00000000-0005-0000-0000-00002E700000}"/>
    <cellStyle name="Total 41 9" xfId="28367" xr:uid="{00000000-0005-0000-0000-00002F700000}"/>
    <cellStyle name="Total 42" xfId="28368" xr:uid="{00000000-0005-0000-0000-000030700000}"/>
    <cellStyle name="Total 42 2" xfId="28369" xr:uid="{00000000-0005-0000-0000-000031700000}"/>
    <cellStyle name="Total 42 3" xfId="28370" xr:uid="{00000000-0005-0000-0000-000032700000}"/>
    <cellStyle name="Total 42 4" xfId="28371" xr:uid="{00000000-0005-0000-0000-000033700000}"/>
    <cellStyle name="Total 42 5" xfId="28372" xr:uid="{00000000-0005-0000-0000-000034700000}"/>
    <cellStyle name="Total 42 6" xfId="28373" xr:uid="{00000000-0005-0000-0000-000035700000}"/>
    <cellStyle name="Total 42 7" xfId="28374" xr:uid="{00000000-0005-0000-0000-000036700000}"/>
    <cellStyle name="Total 42 8" xfId="28375" xr:uid="{00000000-0005-0000-0000-000037700000}"/>
    <cellStyle name="Total 42 9" xfId="28376" xr:uid="{00000000-0005-0000-0000-000038700000}"/>
    <cellStyle name="Total 43" xfId="28377" xr:uid="{00000000-0005-0000-0000-000039700000}"/>
    <cellStyle name="Total 43 2" xfId="28378" xr:uid="{00000000-0005-0000-0000-00003A700000}"/>
    <cellStyle name="Total 43 3" xfId="28379" xr:uid="{00000000-0005-0000-0000-00003B700000}"/>
    <cellStyle name="Total 43 4" xfId="28380" xr:uid="{00000000-0005-0000-0000-00003C700000}"/>
    <cellStyle name="Total 43 5" xfId="28381" xr:uid="{00000000-0005-0000-0000-00003D700000}"/>
    <cellStyle name="Total 43 6" xfId="28382" xr:uid="{00000000-0005-0000-0000-00003E700000}"/>
    <cellStyle name="Total 43 7" xfId="28383" xr:uid="{00000000-0005-0000-0000-00003F700000}"/>
    <cellStyle name="Total 43 8" xfId="28384" xr:uid="{00000000-0005-0000-0000-000040700000}"/>
    <cellStyle name="Total 43 9" xfId="28385" xr:uid="{00000000-0005-0000-0000-000041700000}"/>
    <cellStyle name="Total 44" xfId="28386" xr:uid="{00000000-0005-0000-0000-000042700000}"/>
    <cellStyle name="Total 44 2" xfId="28387" xr:uid="{00000000-0005-0000-0000-000043700000}"/>
    <cellStyle name="Total 44 3" xfId="28388" xr:uid="{00000000-0005-0000-0000-000044700000}"/>
    <cellStyle name="Total 44 4" xfId="28389" xr:uid="{00000000-0005-0000-0000-000045700000}"/>
    <cellStyle name="Total 44 5" xfId="28390" xr:uid="{00000000-0005-0000-0000-000046700000}"/>
    <cellStyle name="Total 44 6" xfId="28391" xr:uid="{00000000-0005-0000-0000-000047700000}"/>
    <cellStyle name="Total 44 7" xfId="28392" xr:uid="{00000000-0005-0000-0000-000048700000}"/>
    <cellStyle name="Total 44 8" xfId="28393" xr:uid="{00000000-0005-0000-0000-000049700000}"/>
    <cellStyle name="Total 44 9" xfId="28394" xr:uid="{00000000-0005-0000-0000-00004A700000}"/>
    <cellStyle name="Total 45" xfId="28395" xr:uid="{00000000-0005-0000-0000-00004B700000}"/>
    <cellStyle name="Total 45 2" xfId="28396" xr:uid="{00000000-0005-0000-0000-00004C700000}"/>
    <cellStyle name="Total 45 3" xfId="28397" xr:uid="{00000000-0005-0000-0000-00004D700000}"/>
    <cellStyle name="Total 45 4" xfId="28398" xr:uid="{00000000-0005-0000-0000-00004E700000}"/>
    <cellStyle name="Total 45 5" xfId="28399" xr:uid="{00000000-0005-0000-0000-00004F700000}"/>
    <cellStyle name="Total 45 6" xfId="28400" xr:uid="{00000000-0005-0000-0000-000050700000}"/>
    <cellStyle name="Total 45 7" xfId="28401" xr:uid="{00000000-0005-0000-0000-000051700000}"/>
    <cellStyle name="Total 45 8" xfId="28402" xr:uid="{00000000-0005-0000-0000-000052700000}"/>
    <cellStyle name="Total 45 9" xfId="28403" xr:uid="{00000000-0005-0000-0000-000053700000}"/>
    <cellStyle name="Total 46" xfId="28404" xr:uid="{00000000-0005-0000-0000-000054700000}"/>
    <cellStyle name="Total 46 2" xfId="28405" xr:uid="{00000000-0005-0000-0000-000055700000}"/>
    <cellStyle name="Total 46 3" xfId="28406" xr:uid="{00000000-0005-0000-0000-000056700000}"/>
    <cellStyle name="Total 46 4" xfId="28407" xr:uid="{00000000-0005-0000-0000-000057700000}"/>
    <cellStyle name="Total 46 5" xfId="28408" xr:uid="{00000000-0005-0000-0000-000058700000}"/>
    <cellStyle name="Total 46 6" xfId="28409" xr:uid="{00000000-0005-0000-0000-000059700000}"/>
    <cellStyle name="Total 46 7" xfId="28410" xr:uid="{00000000-0005-0000-0000-00005A700000}"/>
    <cellStyle name="Total 46 8" xfId="28411" xr:uid="{00000000-0005-0000-0000-00005B700000}"/>
    <cellStyle name="Total 46 9" xfId="28412" xr:uid="{00000000-0005-0000-0000-00005C700000}"/>
    <cellStyle name="Total 47" xfId="28413" xr:uid="{00000000-0005-0000-0000-00005D700000}"/>
    <cellStyle name="Total 47 2" xfId="28414" xr:uid="{00000000-0005-0000-0000-00005E700000}"/>
    <cellStyle name="Total 47 3" xfId="28415" xr:uid="{00000000-0005-0000-0000-00005F700000}"/>
    <cellStyle name="Total 47 4" xfId="28416" xr:uid="{00000000-0005-0000-0000-000060700000}"/>
    <cellStyle name="Total 47 5" xfId="28417" xr:uid="{00000000-0005-0000-0000-000061700000}"/>
    <cellStyle name="Total 47 6" xfId="28418" xr:uid="{00000000-0005-0000-0000-000062700000}"/>
    <cellStyle name="Total 47 7" xfId="28419" xr:uid="{00000000-0005-0000-0000-000063700000}"/>
    <cellStyle name="Total 47 8" xfId="28420" xr:uid="{00000000-0005-0000-0000-000064700000}"/>
    <cellStyle name="Total 47 9" xfId="28421" xr:uid="{00000000-0005-0000-0000-000065700000}"/>
    <cellStyle name="Total 48" xfId="28422" xr:uid="{00000000-0005-0000-0000-000066700000}"/>
    <cellStyle name="Total 48 2" xfId="28423" xr:uid="{00000000-0005-0000-0000-000067700000}"/>
    <cellStyle name="Total 48 3" xfId="28424" xr:uid="{00000000-0005-0000-0000-000068700000}"/>
    <cellStyle name="Total 48 4" xfId="28425" xr:uid="{00000000-0005-0000-0000-000069700000}"/>
    <cellStyle name="Total 48 5" xfId="28426" xr:uid="{00000000-0005-0000-0000-00006A700000}"/>
    <cellStyle name="Total 48 6" xfId="28427" xr:uid="{00000000-0005-0000-0000-00006B700000}"/>
    <cellStyle name="Total 48 7" xfId="28428" xr:uid="{00000000-0005-0000-0000-00006C700000}"/>
    <cellStyle name="Total 48 8" xfId="28429" xr:uid="{00000000-0005-0000-0000-00006D700000}"/>
    <cellStyle name="Total 48 9" xfId="28430" xr:uid="{00000000-0005-0000-0000-00006E700000}"/>
    <cellStyle name="Total 49" xfId="28431" xr:uid="{00000000-0005-0000-0000-00006F700000}"/>
    <cellStyle name="Total 49 2" xfId="28432" xr:uid="{00000000-0005-0000-0000-000070700000}"/>
    <cellStyle name="Total 49 3" xfId="28433" xr:uid="{00000000-0005-0000-0000-000071700000}"/>
    <cellStyle name="Total 49 4" xfId="28434" xr:uid="{00000000-0005-0000-0000-000072700000}"/>
    <cellStyle name="Total 49 5" xfId="28435" xr:uid="{00000000-0005-0000-0000-000073700000}"/>
    <cellStyle name="Total 49 6" xfId="28436" xr:uid="{00000000-0005-0000-0000-000074700000}"/>
    <cellStyle name="Total 49 7" xfId="28437" xr:uid="{00000000-0005-0000-0000-000075700000}"/>
    <cellStyle name="Total 49 8" xfId="28438" xr:uid="{00000000-0005-0000-0000-000076700000}"/>
    <cellStyle name="Total 49 9" xfId="28439" xr:uid="{00000000-0005-0000-0000-000077700000}"/>
    <cellStyle name="Total 5" xfId="47" xr:uid="{00000000-0005-0000-0000-000078700000}"/>
    <cellStyle name="Total 5 10" xfId="28441" xr:uid="{00000000-0005-0000-0000-000079700000}"/>
    <cellStyle name="Total 5 11" xfId="28442" xr:uid="{00000000-0005-0000-0000-00007A700000}"/>
    <cellStyle name="Total 5 12" xfId="28443" xr:uid="{00000000-0005-0000-0000-00007B700000}"/>
    <cellStyle name="Total 5 13" xfId="28444" xr:uid="{00000000-0005-0000-0000-00007C700000}"/>
    <cellStyle name="Total 5 14" xfId="28445" xr:uid="{00000000-0005-0000-0000-00007D700000}"/>
    <cellStyle name="Total 5 15" xfId="28446" xr:uid="{00000000-0005-0000-0000-00007E700000}"/>
    <cellStyle name="Total 5 16" xfId="28440" xr:uid="{00000000-0005-0000-0000-00007F700000}"/>
    <cellStyle name="Total 5 2" xfId="28447" xr:uid="{00000000-0005-0000-0000-000080700000}"/>
    <cellStyle name="Total 5 2 2" xfId="28448" xr:uid="{00000000-0005-0000-0000-000081700000}"/>
    <cellStyle name="Total 5 2 2 2" xfId="28449" xr:uid="{00000000-0005-0000-0000-000082700000}"/>
    <cellStyle name="Total 5 2 2 3" xfId="28450" xr:uid="{00000000-0005-0000-0000-000083700000}"/>
    <cellStyle name="Total 5 2 2 4" xfId="28451" xr:uid="{00000000-0005-0000-0000-000084700000}"/>
    <cellStyle name="Total 5 2 2 5" xfId="28452" xr:uid="{00000000-0005-0000-0000-000085700000}"/>
    <cellStyle name="Total 5 2 2 6" xfId="28453" xr:uid="{00000000-0005-0000-0000-000086700000}"/>
    <cellStyle name="Total 5 2 2 7" xfId="28454" xr:uid="{00000000-0005-0000-0000-000087700000}"/>
    <cellStyle name="Total 5 2 3" xfId="28455" xr:uid="{00000000-0005-0000-0000-000088700000}"/>
    <cellStyle name="Total 5 2 4" xfId="28456" xr:uid="{00000000-0005-0000-0000-000089700000}"/>
    <cellStyle name="Total 5 2 5" xfId="28457" xr:uid="{00000000-0005-0000-0000-00008A700000}"/>
    <cellStyle name="Total 5 2 6" xfId="28458" xr:uid="{00000000-0005-0000-0000-00008B700000}"/>
    <cellStyle name="Total 5 2 7" xfId="28459" xr:uid="{00000000-0005-0000-0000-00008C700000}"/>
    <cellStyle name="Total 5 3" xfId="28460" xr:uid="{00000000-0005-0000-0000-00008D700000}"/>
    <cellStyle name="Total 5 3 2" xfId="28461" xr:uid="{00000000-0005-0000-0000-00008E700000}"/>
    <cellStyle name="Total 5 3 2 2" xfId="28462" xr:uid="{00000000-0005-0000-0000-00008F700000}"/>
    <cellStyle name="Total 5 3 2 3" xfId="28463" xr:uid="{00000000-0005-0000-0000-000090700000}"/>
    <cellStyle name="Total 5 3 2 4" xfId="28464" xr:uid="{00000000-0005-0000-0000-000091700000}"/>
    <cellStyle name="Total 5 3 2 5" xfId="28465" xr:uid="{00000000-0005-0000-0000-000092700000}"/>
    <cellStyle name="Total 5 3 2 6" xfId="28466" xr:uid="{00000000-0005-0000-0000-000093700000}"/>
    <cellStyle name="Total 5 3 2 7" xfId="28467" xr:uid="{00000000-0005-0000-0000-000094700000}"/>
    <cellStyle name="Total 5 3 3" xfId="28468" xr:uid="{00000000-0005-0000-0000-000095700000}"/>
    <cellStyle name="Total 5 3 4" xfId="28469" xr:uid="{00000000-0005-0000-0000-000096700000}"/>
    <cellStyle name="Total 5 3 5" xfId="28470" xr:uid="{00000000-0005-0000-0000-000097700000}"/>
    <cellStyle name="Total 5 3 6" xfId="28471" xr:uid="{00000000-0005-0000-0000-000098700000}"/>
    <cellStyle name="Total 5 3 7" xfId="28472" xr:uid="{00000000-0005-0000-0000-000099700000}"/>
    <cellStyle name="Total 5 4" xfId="28473" xr:uid="{00000000-0005-0000-0000-00009A700000}"/>
    <cellStyle name="Total 5 4 2" xfId="28474" xr:uid="{00000000-0005-0000-0000-00009B700000}"/>
    <cellStyle name="Total 5 4 2 2" xfId="28475" xr:uid="{00000000-0005-0000-0000-00009C700000}"/>
    <cellStyle name="Total 5 4 2 3" xfId="28476" xr:uid="{00000000-0005-0000-0000-00009D700000}"/>
    <cellStyle name="Total 5 4 2 4" xfId="28477" xr:uid="{00000000-0005-0000-0000-00009E700000}"/>
    <cellStyle name="Total 5 4 2 5" xfId="28478" xr:uid="{00000000-0005-0000-0000-00009F700000}"/>
    <cellStyle name="Total 5 4 2 6" xfId="28479" xr:uid="{00000000-0005-0000-0000-0000A0700000}"/>
    <cellStyle name="Total 5 4 2 7" xfId="28480" xr:uid="{00000000-0005-0000-0000-0000A1700000}"/>
    <cellStyle name="Total 5 4 3" xfId="28481" xr:uid="{00000000-0005-0000-0000-0000A2700000}"/>
    <cellStyle name="Total 5 4 4" xfId="28482" xr:uid="{00000000-0005-0000-0000-0000A3700000}"/>
    <cellStyle name="Total 5 4 5" xfId="28483" xr:uid="{00000000-0005-0000-0000-0000A4700000}"/>
    <cellStyle name="Total 5 4 6" xfId="28484" xr:uid="{00000000-0005-0000-0000-0000A5700000}"/>
    <cellStyle name="Total 5 4 7" xfId="28485" xr:uid="{00000000-0005-0000-0000-0000A6700000}"/>
    <cellStyle name="Total 5 5" xfId="28486" xr:uid="{00000000-0005-0000-0000-0000A7700000}"/>
    <cellStyle name="Total 5 5 2" xfId="28487" xr:uid="{00000000-0005-0000-0000-0000A8700000}"/>
    <cellStyle name="Total 5 5 2 2" xfId="28488" xr:uid="{00000000-0005-0000-0000-0000A9700000}"/>
    <cellStyle name="Total 5 5 2 3" xfId="28489" xr:uid="{00000000-0005-0000-0000-0000AA700000}"/>
    <cellStyle name="Total 5 5 2 4" xfId="28490" xr:uid="{00000000-0005-0000-0000-0000AB700000}"/>
    <cellStyle name="Total 5 5 2 5" xfId="28491" xr:uid="{00000000-0005-0000-0000-0000AC700000}"/>
    <cellStyle name="Total 5 5 2 6" xfId="28492" xr:uid="{00000000-0005-0000-0000-0000AD700000}"/>
    <cellStyle name="Total 5 5 2 7" xfId="28493" xr:uid="{00000000-0005-0000-0000-0000AE700000}"/>
    <cellStyle name="Total 5 5 3" xfId="28494" xr:uid="{00000000-0005-0000-0000-0000AF700000}"/>
    <cellStyle name="Total 5 5 4" xfId="28495" xr:uid="{00000000-0005-0000-0000-0000B0700000}"/>
    <cellStyle name="Total 5 5 5" xfId="28496" xr:uid="{00000000-0005-0000-0000-0000B1700000}"/>
    <cellStyle name="Total 5 5 6" xfId="28497" xr:uid="{00000000-0005-0000-0000-0000B2700000}"/>
    <cellStyle name="Total 5 5 7" xfId="28498" xr:uid="{00000000-0005-0000-0000-0000B3700000}"/>
    <cellStyle name="Total 5 6" xfId="28499" xr:uid="{00000000-0005-0000-0000-0000B4700000}"/>
    <cellStyle name="Total 5 6 2" xfId="28500" xr:uid="{00000000-0005-0000-0000-0000B5700000}"/>
    <cellStyle name="Total 5 6 2 2" xfId="28501" xr:uid="{00000000-0005-0000-0000-0000B6700000}"/>
    <cellStyle name="Total 5 6 2 3" xfId="28502" xr:uid="{00000000-0005-0000-0000-0000B7700000}"/>
    <cellStyle name="Total 5 6 2 4" xfId="28503" xr:uid="{00000000-0005-0000-0000-0000B8700000}"/>
    <cellStyle name="Total 5 6 2 5" xfId="28504" xr:uid="{00000000-0005-0000-0000-0000B9700000}"/>
    <cellStyle name="Total 5 6 2 6" xfId="28505" xr:uid="{00000000-0005-0000-0000-0000BA700000}"/>
    <cellStyle name="Total 5 6 2 7" xfId="28506" xr:uid="{00000000-0005-0000-0000-0000BB700000}"/>
    <cellStyle name="Total 5 6 3" xfId="28507" xr:uid="{00000000-0005-0000-0000-0000BC700000}"/>
    <cellStyle name="Total 5 6 4" xfId="28508" xr:uid="{00000000-0005-0000-0000-0000BD700000}"/>
    <cellStyle name="Total 5 6 5" xfId="28509" xr:uid="{00000000-0005-0000-0000-0000BE700000}"/>
    <cellStyle name="Total 5 6 6" xfId="28510" xr:uid="{00000000-0005-0000-0000-0000BF700000}"/>
    <cellStyle name="Total 5 6 7" xfId="28511" xr:uid="{00000000-0005-0000-0000-0000C0700000}"/>
    <cellStyle name="Total 5 7" xfId="28512" xr:uid="{00000000-0005-0000-0000-0000C1700000}"/>
    <cellStyle name="Total 5 7 2" xfId="28513" xr:uid="{00000000-0005-0000-0000-0000C2700000}"/>
    <cellStyle name="Total 5 7 2 2" xfId="28514" xr:uid="{00000000-0005-0000-0000-0000C3700000}"/>
    <cellStyle name="Total 5 7 2 3" xfId="28515" xr:uid="{00000000-0005-0000-0000-0000C4700000}"/>
    <cellStyle name="Total 5 7 2 4" xfId="28516" xr:uid="{00000000-0005-0000-0000-0000C5700000}"/>
    <cellStyle name="Total 5 7 2 5" xfId="28517" xr:uid="{00000000-0005-0000-0000-0000C6700000}"/>
    <cellStyle name="Total 5 7 2 6" xfId="28518" xr:uid="{00000000-0005-0000-0000-0000C7700000}"/>
    <cellStyle name="Total 5 7 2 7" xfId="28519" xr:uid="{00000000-0005-0000-0000-0000C8700000}"/>
    <cellStyle name="Total 5 7 3" xfId="28520" xr:uid="{00000000-0005-0000-0000-0000C9700000}"/>
    <cellStyle name="Total 5 7 4" xfId="28521" xr:uid="{00000000-0005-0000-0000-0000CA700000}"/>
    <cellStyle name="Total 5 7 5" xfId="28522" xr:uid="{00000000-0005-0000-0000-0000CB700000}"/>
    <cellStyle name="Total 5 7 6" xfId="28523" xr:uid="{00000000-0005-0000-0000-0000CC700000}"/>
    <cellStyle name="Total 5 7 7" xfId="28524" xr:uid="{00000000-0005-0000-0000-0000CD700000}"/>
    <cellStyle name="Total 5 8" xfId="28525" xr:uid="{00000000-0005-0000-0000-0000CE700000}"/>
    <cellStyle name="Total 5 8 2" xfId="28526" xr:uid="{00000000-0005-0000-0000-0000CF700000}"/>
    <cellStyle name="Total 5 8 3" xfId="28527" xr:uid="{00000000-0005-0000-0000-0000D0700000}"/>
    <cellStyle name="Total 5 8 4" xfId="28528" xr:uid="{00000000-0005-0000-0000-0000D1700000}"/>
    <cellStyle name="Total 5 8 5" xfId="28529" xr:uid="{00000000-0005-0000-0000-0000D2700000}"/>
    <cellStyle name="Total 5 8 6" xfId="28530" xr:uid="{00000000-0005-0000-0000-0000D3700000}"/>
    <cellStyle name="Total 5 8 7" xfId="28531" xr:uid="{00000000-0005-0000-0000-0000D4700000}"/>
    <cellStyle name="Total 5 9" xfId="28532" xr:uid="{00000000-0005-0000-0000-0000D5700000}"/>
    <cellStyle name="Total 50" xfId="28533" xr:uid="{00000000-0005-0000-0000-0000D6700000}"/>
    <cellStyle name="Total 50 2" xfId="28534" xr:uid="{00000000-0005-0000-0000-0000D7700000}"/>
    <cellStyle name="Total 50 3" xfId="28535" xr:uid="{00000000-0005-0000-0000-0000D8700000}"/>
    <cellStyle name="Total 50 4" xfId="28536" xr:uid="{00000000-0005-0000-0000-0000D9700000}"/>
    <cellStyle name="Total 50 5" xfId="28537" xr:uid="{00000000-0005-0000-0000-0000DA700000}"/>
    <cellStyle name="Total 50 6" xfId="28538" xr:uid="{00000000-0005-0000-0000-0000DB700000}"/>
    <cellStyle name="Total 50 7" xfId="28539" xr:uid="{00000000-0005-0000-0000-0000DC700000}"/>
    <cellStyle name="Total 50 8" xfId="28540" xr:uid="{00000000-0005-0000-0000-0000DD700000}"/>
    <cellStyle name="Total 50 9" xfId="28541" xr:uid="{00000000-0005-0000-0000-0000DE700000}"/>
    <cellStyle name="Total 51" xfId="28542" xr:uid="{00000000-0005-0000-0000-0000DF700000}"/>
    <cellStyle name="Total 51 2" xfId="28543" xr:uid="{00000000-0005-0000-0000-0000E0700000}"/>
    <cellStyle name="Total 51 3" xfId="28544" xr:uid="{00000000-0005-0000-0000-0000E1700000}"/>
    <cellStyle name="Total 51 4" xfId="28545" xr:uid="{00000000-0005-0000-0000-0000E2700000}"/>
    <cellStyle name="Total 51 5" xfId="28546" xr:uid="{00000000-0005-0000-0000-0000E3700000}"/>
    <cellStyle name="Total 51 6" xfId="28547" xr:uid="{00000000-0005-0000-0000-0000E4700000}"/>
    <cellStyle name="Total 51 7" xfId="28548" xr:uid="{00000000-0005-0000-0000-0000E5700000}"/>
    <cellStyle name="Total 51 8" xfId="28549" xr:uid="{00000000-0005-0000-0000-0000E6700000}"/>
    <cellStyle name="Total 51 9" xfId="28550" xr:uid="{00000000-0005-0000-0000-0000E7700000}"/>
    <cellStyle name="Total 52" xfId="28551" xr:uid="{00000000-0005-0000-0000-0000E8700000}"/>
    <cellStyle name="Total 52 2" xfId="28552" xr:uid="{00000000-0005-0000-0000-0000E9700000}"/>
    <cellStyle name="Total 52 3" xfId="28553" xr:uid="{00000000-0005-0000-0000-0000EA700000}"/>
    <cellStyle name="Total 52 4" xfId="28554" xr:uid="{00000000-0005-0000-0000-0000EB700000}"/>
    <cellStyle name="Total 52 5" xfId="28555" xr:uid="{00000000-0005-0000-0000-0000EC700000}"/>
    <cellStyle name="Total 52 6" xfId="28556" xr:uid="{00000000-0005-0000-0000-0000ED700000}"/>
    <cellStyle name="Total 52 7" xfId="28557" xr:uid="{00000000-0005-0000-0000-0000EE700000}"/>
    <cellStyle name="Total 52 8" xfId="28558" xr:uid="{00000000-0005-0000-0000-0000EF700000}"/>
    <cellStyle name="Total 52 9" xfId="28559" xr:uid="{00000000-0005-0000-0000-0000F0700000}"/>
    <cellStyle name="Total 53" xfId="28560" xr:uid="{00000000-0005-0000-0000-0000F1700000}"/>
    <cellStyle name="Total 53 2" xfId="28561" xr:uid="{00000000-0005-0000-0000-0000F2700000}"/>
    <cellStyle name="Total 53 3" xfId="28562" xr:uid="{00000000-0005-0000-0000-0000F3700000}"/>
    <cellStyle name="Total 53 4" xfId="28563" xr:uid="{00000000-0005-0000-0000-0000F4700000}"/>
    <cellStyle name="Total 53 5" xfId="28564" xr:uid="{00000000-0005-0000-0000-0000F5700000}"/>
    <cellStyle name="Total 53 6" xfId="28565" xr:uid="{00000000-0005-0000-0000-0000F6700000}"/>
    <cellStyle name="Total 53 7" xfId="28566" xr:uid="{00000000-0005-0000-0000-0000F7700000}"/>
    <cellStyle name="Total 53 8" xfId="28567" xr:uid="{00000000-0005-0000-0000-0000F8700000}"/>
    <cellStyle name="Total 53 9" xfId="28568" xr:uid="{00000000-0005-0000-0000-0000F9700000}"/>
    <cellStyle name="Total 54" xfId="28569" xr:uid="{00000000-0005-0000-0000-0000FA700000}"/>
    <cellStyle name="Total 54 2" xfId="28570" xr:uid="{00000000-0005-0000-0000-0000FB700000}"/>
    <cellStyle name="Total 54 3" xfId="28571" xr:uid="{00000000-0005-0000-0000-0000FC700000}"/>
    <cellStyle name="Total 54 4" xfId="28572" xr:uid="{00000000-0005-0000-0000-0000FD700000}"/>
    <cellStyle name="Total 54 5" xfId="28573" xr:uid="{00000000-0005-0000-0000-0000FE700000}"/>
    <cellStyle name="Total 54 6" xfId="28574" xr:uid="{00000000-0005-0000-0000-0000FF700000}"/>
    <cellStyle name="Total 54 7" xfId="28575" xr:uid="{00000000-0005-0000-0000-000000710000}"/>
    <cellStyle name="Total 54 8" xfId="28576" xr:uid="{00000000-0005-0000-0000-000001710000}"/>
    <cellStyle name="Total 54 9" xfId="28577" xr:uid="{00000000-0005-0000-0000-000002710000}"/>
    <cellStyle name="Total 55" xfId="28578" xr:uid="{00000000-0005-0000-0000-000003710000}"/>
    <cellStyle name="Total 55 2" xfId="28579" xr:uid="{00000000-0005-0000-0000-000004710000}"/>
    <cellStyle name="Total 55 3" xfId="28580" xr:uid="{00000000-0005-0000-0000-000005710000}"/>
    <cellStyle name="Total 55 4" xfId="28581" xr:uid="{00000000-0005-0000-0000-000006710000}"/>
    <cellStyle name="Total 55 5" xfId="28582" xr:uid="{00000000-0005-0000-0000-000007710000}"/>
    <cellStyle name="Total 55 6" xfId="28583" xr:uid="{00000000-0005-0000-0000-000008710000}"/>
    <cellStyle name="Total 55 7" xfId="28584" xr:uid="{00000000-0005-0000-0000-000009710000}"/>
    <cellStyle name="Total 55 8" xfId="28585" xr:uid="{00000000-0005-0000-0000-00000A710000}"/>
    <cellStyle name="Total 55 9" xfId="28586" xr:uid="{00000000-0005-0000-0000-00000B710000}"/>
    <cellStyle name="Total 56" xfId="28587" xr:uid="{00000000-0005-0000-0000-00000C710000}"/>
    <cellStyle name="Total 56 2" xfId="28588" xr:uid="{00000000-0005-0000-0000-00000D710000}"/>
    <cellStyle name="Total 56 3" xfId="28589" xr:uid="{00000000-0005-0000-0000-00000E710000}"/>
    <cellStyle name="Total 56 4" xfId="28590" xr:uid="{00000000-0005-0000-0000-00000F710000}"/>
    <cellStyle name="Total 56 5" xfId="28591" xr:uid="{00000000-0005-0000-0000-000010710000}"/>
    <cellStyle name="Total 56 6" xfId="28592" xr:uid="{00000000-0005-0000-0000-000011710000}"/>
    <cellStyle name="Total 56 7" xfId="28593" xr:uid="{00000000-0005-0000-0000-000012710000}"/>
    <cellStyle name="Total 56 8" xfId="28594" xr:uid="{00000000-0005-0000-0000-000013710000}"/>
    <cellStyle name="Total 56 9" xfId="28595" xr:uid="{00000000-0005-0000-0000-000014710000}"/>
    <cellStyle name="Total 57" xfId="28596" xr:uid="{00000000-0005-0000-0000-000015710000}"/>
    <cellStyle name="Total 57 2" xfId="28597" xr:uid="{00000000-0005-0000-0000-000016710000}"/>
    <cellStyle name="Total 57 3" xfId="28598" xr:uid="{00000000-0005-0000-0000-000017710000}"/>
    <cellStyle name="Total 57 4" xfId="28599" xr:uid="{00000000-0005-0000-0000-000018710000}"/>
    <cellStyle name="Total 57 5" xfId="28600" xr:uid="{00000000-0005-0000-0000-000019710000}"/>
    <cellStyle name="Total 57 6" xfId="28601" xr:uid="{00000000-0005-0000-0000-00001A710000}"/>
    <cellStyle name="Total 57 7" xfId="28602" xr:uid="{00000000-0005-0000-0000-00001B710000}"/>
    <cellStyle name="Total 57 8" xfId="28603" xr:uid="{00000000-0005-0000-0000-00001C710000}"/>
    <cellStyle name="Total 57 9" xfId="28604" xr:uid="{00000000-0005-0000-0000-00001D710000}"/>
    <cellStyle name="Total 58" xfId="28605" xr:uid="{00000000-0005-0000-0000-00001E710000}"/>
    <cellStyle name="Total 58 2" xfId="28606" xr:uid="{00000000-0005-0000-0000-00001F710000}"/>
    <cellStyle name="Total 58 3" xfId="28607" xr:uid="{00000000-0005-0000-0000-000020710000}"/>
    <cellStyle name="Total 58 4" xfId="28608" xr:uid="{00000000-0005-0000-0000-000021710000}"/>
    <cellStyle name="Total 58 5" xfId="28609" xr:uid="{00000000-0005-0000-0000-000022710000}"/>
    <cellStyle name="Total 58 6" xfId="28610" xr:uid="{00000000-0005-0000-0000-000023710000}"/>
    <cellStyle name="Total 58 7" xfId="28611" xr:uid="{00000000-0005-0000-0000-000024710000}"/>
    <cellStyle name="Total 58 8" xfId="28612" xr:uid="{00000000-0005-0000-0000-000025710000}"/>
    <cellStyle name="Total 58 9" xfId="28613" xr:uid="{00000000-0005-0000-0000-000026710000}"/>
    <cellStyle name="Total 59" xfId="28614" xr:uid="{00000000-0005-0000-0000-000027710000}"/>
    <cellStyle name="Total 59 2" xfId="28615" xr:uid="{00000000-0005-0000-0000-000028710000}"/>
    <cellStyle name="Total 59 3" xfId="28616" xr:uid="{00000000-0005-0000-0000-000029710000}"/>
    <cellStyle name="Total 59 4" xfId="28617" xr:uid="{00000000-0005-0000-0000-00002A710000}"/>
    <cellStyle name="Total 59 5" xfId="28618" xr:uid="{00000000-0005-0000-0000-00002B710000}"/>
    <cellStyle name="Total 59 6" xfId="28619" xr:uid="{00000000-0005-0000-0000-00002C710000}"/>
    <cellStyle name="Total 59 7" xfId="28620" xr:uid="{00000000-0005-0000-0000-00002D710000}"/>
    <cellStyle name="Total 59 8" xfId="28621" xr:uid="{00000000-0005-0000-0000-00002E710000}"/>
    <cellStyle name="Total 59 9" xfId="28622" xr:uid="{00000000-0005-0000-0000-00002F710000}"/>
    <cellStyle name="Total 6" xfId="48" xr:uid="{00000000-0005-0000-0000-000030710000}"/>
    <cellStyle name="Total 6 10" xfId="28624" xr:uid="{00000000-0005-0000-0000-000031710000}"/>
    <cellStyle name="Total 6 11" xfId="28625" xr:uid="{00000000-0005-0000-0000-000032710000}"/>
    <cellStyle name="Total 6 12" xfId="28626" xr:uid="{00000000-0005-0000-0000-000033710000}"/>
    <cellStyle name="Total 6 13" xfId="28627" xr:uid="{00000000-0005-0000-0000-000034710000}"/>
    <cellStyle name="Total 6 14" xfId="28628" xr:uid="{00000000-0005-0000-0000-000035710000}"/>
    <cellStyle name="Total 6 15" xfId="28629" xr:uid="{00000000-0005-0000-0000-000036710000}"/>
    <cellStyle name="Total 6 16" xfId="28623" xr:uid="{00000000-0005-0000-0000-000037710000}"/>
    <cellStyle name="Total 6 2" xfId="28630" xr:uid="{00000000-0005-0000-0000-000038710000}"/>
    <cellStyle name="Total 6 2 2" xfId="28631" xr:uid="{00000000-0005-0000-0000-000039710000}"/>
    <cellStyle name="Total 6 2 2 2" xfId="28632" xr:uid="{00000000-0005-0000-0000-00003A710000}"/>
    <cellStyle name="Total 6 2 2 3" xfId="28633" xr:uid="{00000000-0005-0000-0000-00003B710000}"/>
    <cellStyle name="Total 6 2 2 4" xfId="28634" xr:uid="{00000000-0005-0000-0000-00003C710000}"/>
    <cellStyle name="Total 6 2 2 5" xfId="28635" xr:uid="{00000000-0005-0000-0000-00003D710000}"/>
    <cellStyle name="Total 6 2 2 6" xfId="28636" xr:uid="{00000000-0005-0000-0000-00003E710000}"/>
    <cellStyle name="Total 6 2 2 7" xfId="28637" xr:uid="{00000000-0005-0000-0000-00003F710000}"/>
    <cellStyle name="Total 6 2 3" xfId="28638" xr:uid="{00000000-0005-0000-0000-000040710000}"/>
    <cellStyle name="Total 6 2 4" xfId="28639" xr:uid="{00000000-0005-0000-0000-000041710000}"/>
    <cellStyle name="Total 6 2 5" xfId="28640" xr:uid="{00000000-0005-0000-0000-000042710000}"/>
    <cellStyle name="Total 6 2 6" xfId="28641" xr:uid="{00000000-0005-0000-0000-000043710000}"/>
    <cellStyle name="Total 6 2 7" xfId="28642" xr:uid="{00000000-0005-0000-0000-000044710000}"/>
    <cellStyle name="Total 6 3" xfId="28643" xr:uid="{00000000-0005-0000-0000-000045710000}"/>
    <cellStyle name="Total 6 3 2" xfId="28644" xr:uid="{00000000-0005-0000-0000-000046710000}"/>
    <cellStyle name="Total 6 3 2 2" xfId="28645" xr:uid="{00000000-0005-0000-0000-000047710000}"/>
    <cellStyle name="Total 6 3 2 3" xfId="28646" xr:uid="{00000000-0005-0000-0000-000048710000}"/>
    <cellStyle name="Total 6 3 2 4" xfId="28647" xr:uid="{00000000-0005-0000-0000-000049710000}"/>
    <cellStyle name="Total 6 3 2 5" xfId="28648" xr:uid="{00000000-0005-0000-0000-00004A710000}"/>
    <cellStyle name="Total 6 3 2 6" xfId="28649" xr:uid="{00000000-0005-0000-0000-00004B710000}"/>
    <cellStyle name="Total 6 3 2 7" xfId="28650" xr:uid="{00000000-0005-0000-0000-00004C710000}"/>
    <cellStyle name="Total 6 3 3" xfId="28651" xr:uid="{00000000-0005-0000-0000-00004D710000}"/>
    <cellStyle name="Total 6 3 4" xfId="28652" xr:uid="{00000000-0005-0000-0000-00004E710000}"/>
    <cellStyle name="Total 6 3 5" xfId="28653" xr:uid="{00000000-0005-0000-0000-00004F710000}"/>
    <cellStyle name="Total 6 3 6" xfId="28654" xr:uid="{00000000-0005-0000-0000-000050710000}"/>
    <cellStyle name="Total 6 3 7" xfId="28655" xr:uid="{00000000-0005-0000-0000-000051710000}"/>
    <cellStyle name="Total 6 4" xfId="28656" xr:uid="{00000000-0005-0000-0000-000052710000}"/>
    <cellStyle name="Total 6 4 2" xfId="28657" xr:uid="{00000000-0005-0000-0000-000053710000}"/>
    <cellStyle name="Total 6 4 2 2" xfId="28658" xr:uid="{00000000-0005-0000-0000-000054710000}"/>
    <cellStyle name="Total 6 4 2 3" xfId="28659" xr:uid="{00000000-0005-0000-0000-000055710000}"/>
    <cellStyle name="Total 6 4 2 4" xfId="28660" xr:uid="{00000000-0005-0000-0000-000056710000}"/>
    <cellStyle name="Total 6 4 2 5" xfId="28661" xr:uid="{00000000-0005-0000-0000-000057710000}"/>
    <cellStyle name="Total 6 4 2 6" xfId="28662" xr:uid="{00000000-0005-0000-0000-000058710000}"/>
    <cellStyle name="Total 6 4 2 7" xfId="28663" xr:uid="{00000000-0005-0000-0000-000059710000}"/>
    <cellStyle name="Total 6 4 3" xfId="28664" xr:uid="{00000000-0005-0000-0000-00005A710000}"/>
    <cellStyle name="Total 6 4 4" xfId="28665" xr:uid="{00000000-0005-0000-0000-00005B710000}"/>
    <cellStyle name="Total 6 4 5" xfId="28666" xr:uid="{00000000-0005-0000-0000-00005C710000}"/>
    <cellStyle name="Total 6 4 6" xfId="28667" xr:uid="{00000000-0005-0000-0000-00005D710000}"/>
    <cellStyle name="Total 6 4 7" xfId="28668" xr:uid="{00000000-0005-0000-0000-00005E710000}"/>
    <cellStyle name="Total 6 5" xfId="28669" xr:uid="{00000000-0005-0000-0000-00005F710000}"/>
    <cellStyle name="Total 6 5 2" xfId="28670" xr:uid="{00000000-0005-0000-0000-000060710000}"/>
    <cellStyle name="Total 6 5 2 2" xfId="28671" xr:uid="{00000000-0005-0000-0000-000061710000}"/>
    <cellStyle name="Total 6 5 2 3" xfId="28672" xr:uid="{00000000-0005-0000-0000-000062710000}"/>
    <cellStyle name="Total 6 5 2 4" xfId="28673" xr:uid="{00000000-0005-0000-0000-000063710000}"/>
    <cellStyle name="Total 6 5 2 5" xfId="28674" xr:uid="{00000000-0005-0000-0000-000064710000}"/>
    <cellStyle name="Total 6 5 2 6" xfId="28675" xr:uid="{00000000-0005-0000-0000-000065710000}"/>
    <cellStyle name="Total 6 5 2 7" xfId="28676" xr:uid="{00000000-0005-0000-0000-000066710000}"/>
    <cellStyle name="Total 6 5 3" xfId="28677" xr:uid="{00000000-0005-0000-0000-000067710000}"/>
    <cellStyle name="Total 6 5 4" xfId="28678" xr:uid="{00000000-0005-0000-0000-000068710000}"/>
    <cellStyle name="Total 6 5 5" xfId="28679" xr:uid="{00000000-0005-0000-0000-000069710000}"/>
    <cellStyle name="Total 6 5 6" xfId="28680" xr:uid="{00000000-0005-0000-0000-00006A710000}"/>
    <cellStyle name="Total 6 5 7" xfId="28681" xr:uid="{00000000-0005-0000-0000-00006B710000}"/>
    <cellStyle name="Total 6 6" xfId="28682" xr:uid="{00000000-0005-0000-0000-00006C710000}"/>
    <cellStyle name="Total 6 6 2" xfId="28683" xr:uid="{00000000-0005-0000-0000-00006D710000}"/>
    <cellStyle name="Total 6 6 2 2" xfId="28684" xr:uid="{00000000-0005-0000-0000-00006E710000}"/>
    <cellStyle name="Total 6 6 2 3" xfId="28685" xr:uid="{00000000-0005-0000-0000-00006F710000}"/>
    <cellStyle name="Total 6 6 2 4" xfId="28686" xr:uid="{00000000-0005-0000-0000-000070710000}"/>
    <cellStyle name="Total 6 6 2 5" xfId="28687" xr:uid="{00000000-0005-0000-0000-000071710000}"/>
    <cellStyle name="Total 6 6 2 6" xfId="28688" xr:uid="{00000000-0005-0000-0000-000072710000}"/>
    <cellStyle name="Total 6 6 2 7" xfId="28689" xr:uid="{00000000-0005-0000-0000-000073710000}"/>
    <cellStyle name="Total 6 6 3" xfId="28690" xr:uid="{00000000-0005-0000-0000-000074710000}"/>
    <cellStyle name="Total 6 6 4" xfId="28691" xr:uid="{00000000-0005-0000-0000-000075710000}"/>
    <cellStyle name="Total 6 6 5" xfId="28692" xr:uid="{00000000-0005-0000-0000-000076710000}"/>
    <cellStyle name="Total 6 6 6" xfId="28693" xr:uid="{00000000-0005-0000-0000-000077710000}"/>
    <cellStyle name="Total 6 6 7" xfId="28694" xr:uid="{00000000-0005-0000-0000-000078710000}"/>
    <cellStyle name="Total 6 7" xfId="28695" xr:uid="{00000000-0005-0000-0000-000079710000}"/>
    <cellStyle name="Total 6 7 2" xfId="28696" xr:uid="{00000000-0005-0000-0000-00007A710000}"/>
    <cellStyle name="Total 6 7 2 2" xfId="28697" xr:uid="{00000000-0005-0000-0000-00007B710000}"/>
    <cellStyle name="Total 6 7 2 3" xfId="28698" xr:uid="{00000000-0005-0000-0000-00007C710000}"/>
    <cellStyle name="Total 6 7 2 4" xfId="28699" xr:uid="{00000000-0005-0000-0000-00007D710000}"/>
    <cellStyle name="Total 6 7 2 5" xfId="28700" xr:uid="{00000000-0005-0000-0000-00007E710000}"/>
    <cellStyle name="Total 6 7 2 6" xfId="28701" xr:uid="{00000000-0005-0000-0000-00007F710000}"/>
    <cellStyle name="Total 6 7 2 7" xfId="28702" xr:uid="{00000000-0005-0000-0000-000080710000}"/>
    <cellStyle name="Total 6 7 3" xfId="28703" xr:uid="{00000000-0005-0000-0000-000081710000}"/>
    <cellStyle name="Total 6 7 4" xfId="28704" xr:uid="{00000000-0005-0000-0000-000082710000}"/>
    <cellStyle name="Total 6 7 5" xfId="28705" xr:uid="{00000000-0005-0000-0000-000083710000}"/>
    <cellStyle name="Total 6 7 6" xfId="28706" xr:uid="{00000000-0005-0000-0000-000084710000}"/>
    <cellStyle name="Total 6 7 7" xfId="28707" xr:uid="{00000000-0005-0000-0000-000085710000}"/>
    <cellStyle name="Total 6 8" xfId="28708" xr:uid="{00000000-0005-0000-0000-000086710000}"/>
    <cellStyle name="Total 6 8 2" xfId="28709" xr:uid="{00000000-0005-0000-0000-000087710000}"/>
    <cellStyle name="Total 6 8 3" xfId="28710" xr:uid="{00000000-0005-0000-0000-000088710000}"/>
    <cellStyle name="Total 6 8 4" xfId="28711" xr:uid="{00000000-0005-0000-0000-000089710000}"/>
    <cellStyle name="Total 6 8 5" xfId="28712" xr:uid="{00000000-0005-0000-0000-00008A710000}"/>
    <cellStyle name="Total 6 8 6" xfId="28713" xr:uid="{00000000-0005-0000-0000-00008B710000}"/>
    <cellStyle name="Total 6 8 7" xfId="28714" xr:uid="{00000000-0005-0000-0000-00008C710000}"/>
    <cellStyle name="Total 6 9" xfId="28715" xr:uid="{00000000-0005-0000-0000-00008D710000}"/>
    <cellStyle name="Total 60" xfId="28716" xr:uid="{00000000-0005-0000-0000-00008E710000}"/>
    <cellStyle name="Total 60 2" xfId="28717" xr:uid="{00000000-0005-0000-0000-00008F710000}"/>
    <cellStyle name="Total 60 3" xfId="28718" xr:uid="{00000000-0005-0000-0000-000090710000}"/>
    <cellStyle name="Total 60 4" xfId="28719" xr:uid="{00000000-0005-0000-0000-000091710000}"/>
    <cellStyle name="Total 60 5" xfId="28720" xr:uid="{00000000-0005-0000-0000-000092710000}"/>
    <cellStyle name="Total 60 6" xfId="28721" xr:uid="{00000000-0005-0000-0000-000093710000}"/>
    <cellStyle name="Total 60 7" xfId="28722" xr:uid="{00000000-0005-0000-0000-000094710000}"/>
    <cellStyle name="Total 60 8" xfId="28723" xr:uid="{00000000-0005-0000-0000-000095710000}"/>
    <cellStyle name="Total 60 9" xfId="28724" xr:uid="{00000000-0005-0000-0000-000096710000}"/>
    <cellStyle name="Total 61" xfId="28725" xr:uid="{00000000-0005-0000-0000-000097710000}"/>
    <cellStyle name="Total 61 2" xfId="28726" xr:uid="{00000000-0005-0000-0000-000098710000}"/>
    <cellStyle name="Total 61 3" xfId="28727" xr:uid="{00000000-0005-0000-0000-000099710000}"/>
    <cellStyle name="Total 61 4" xfId="28728" xr:uid="{00000000-0005-0000-0000-00009A710000}"/>
    <cellStyle name="Total 61 5" xfId="28729" xr:uid="{00000000-0005-0000-0000-00009B710000}"/>
    <cellStyle name="Total 61 6" xfId="28730" xr:uid="{00000000-0005-0000-0000-00009C710000}"/>
    <cellStyle name="Total 61 7" xfId="28731" xr:uid="{00000000-0005-0000-0000-00009D710000}"/>
    <cellStyle name="Total 61 8" xfId="28732" xr:uid="{00000000-0005-0000-0000-00009E710000}"/>
    <cellStyle name="Total 61 9" xfId="28733" xr:uid="{00000000-0005-0000-0000-00009F710000}"/>
    <cellStyle name="Total 62" xfId="28734" xr:uid="{00000000-0005-0000-0000-0000A0710000}"/>
    <cellStyle name="Total 62 2" xfId="28735" xr:uid="{00000000-0005-0000-0000-0000A1710000}"/>
    <cellStyle name="Total 62 3" xfId="28736" xr:uid="{00000000-0005-0000-0000-0000A2710000}"/>
    <cellStyle name="Total 62 4" xfId="28737" xr:uid="{00000000-0005-0000-0000-0000A3710000}"/>
    <cellStyle name="Total 62 5" xfId="28738" xr:uid="{00000000-0005-0000-0000-0000A4710000}"/>
    <cellStyle name="Total 62 6" xfId="28739" xr:uid="{00000000-0005-0000-0000-0000A5710000}"/>
    <cellStyle name="Total 62 7" xfId="28740" xr:uid="{00000000-0005-0000-0000-0000A6710000}"/>
    <cellStyle name="Total 62 8" xfId="28741" xr:uid="{00000000-0005-0000-0000-0000A7710000}"/>
    <cellStyle name="Total 62 9" xfId="28742" xr:uid="{00000000-0005-0000-0000-0000A8710000}"/>
    <cellStyle name="Total 63" xfId="28743" xr:uid="{00000000-0005-0000-0000-0000A9710000}"/>
    <cellStyle name="Total 63 2" xfId="28744" xr:uid="{00000000-0005-0000-0000-0000AA710000}"/>
    <cellStyle name="Total 63 3" xfId="28745" xr:uid="{00000000-0005-0000-0000-0000AB710000}"/>
    <cellStyle name="Total 63 4" xfId="28746" xr:uid="{00000000-0005-0000-0000-0000AC710000}"/>
    <cellStyle name="Total 63 5" xfId="28747" xr:uid="{00000000-0005-0000-0000-0000AD710000}"/>
    <cellStyle name="Total 63 6" xfId="28748" xr:uid="{00000000-0005-0000-0000-0000AE710000}"/>
    <cellStyle name="Total 63 7" xfId="28749" xr:uid="{00000000-0005-0000-0000-0000AF710000}"/>
    <cellStyle name="Total 63 8" xfId="28750" xr:uid="{00000000-0005-0000-0000-0000B0710000}"/>
    <cellStyle name="Total 63 9" xfId="28751" xr:uid="{00000000-0005-0000-0000-0000B1710000}"/>
    <cellStyle name="Total 64" xfId="28752" xr:uid="{00000000-0005-0000-0000-0000B2710000}"/>
    <cellStyle name="Total 64 2" xfId="28753" xr:uid="{00000000-0005-0000-0000-0000B3710000}"/>
    <cellStyle name="Total 64 3" xfId="28754" xr:uid="{00000000-0005-0000-0000-0000B4710000}"/>
    <cellStyle name="Total 64 4" xfId="28755" xr:uid="{00000000-0005-0000-0000-0000B5710000}"/>
    <cellStyle name="Total 64 5" xfId="28756" xr:uid="{00000000-0005-0000-0000-0000B6710000}"/>
    <cellStyle name="Total 64 6" xfId="28757" xr:uid="{00000000-0005-0000-0000-0000B7710000}"/>
    <cellStyle name="Total 64 7" xfId="28758" xr:uid="{00000000-0005-0000-0000-0000B8710000}"/>
    <cellStyle name="Total 64 8" xfId="28759" xr:uid="{00000000-0005-0000-0000-0000B9710000}"/>
    <cellStyle name="Total 64 9" xfId="28760" xr:uid="{00000000-0005-0000-0000-0000BA710000}"/>
    <cellStyle name="Total 65" xfId="28761" xr:uid="{00000000-0005-0000-0000-0000BB710000}"/>
    <cellStyle name="Total 65 2" xfId="28762" xr:uid="{00000000-0005-0000-0000-0000BC710000}"/>
    <cellStyle name="Total 65 3" xfId="28763" xr:uid="{00000000-0005-0000-0000-0000BD710000}"/>
    <cellStyle name="Total 65 4" xfId="28764" xr:uid="{00000000-0005-0000-0000-0000BE710000}"/>
    <cellStyle name="Total 65 5" xfId="28765" xr:uid="{00000000-0005-0000-0000-0000BF710000}"/>
    <cellStyle name="Total 65 6" xfId="28766" xr:uid="{00000000-0005-0000-0000-0000C0710000}"/>
    <cellStyle name="Total 65 7" xfId="28767" xr:uid="{00000000-0005-0000-0000-0000C1710000}"/>
    <cellStyle name="Total 65 8" xfId="28768" xr:uid="{00000000-0005-0000-0000-0000C2710000}"/>
    <cellStyle name="Total 65 9" xfId="28769" xr:uid="{00000000-0005-0000-0000-0000C3710000}"/>
    <cellStyle name="Total 66" xfId="28770" xr:uid="{00000000-0005-0000-0000-0000C4710000}"/>
    <cellStyle name="Total 66 2" xfId="28771" xr:uid="{00000000-0005-0000-0000-0000C5710000}"/>
    <cellStyle name="Total 66 3" xfId="28772" xr:uid="{00000000-0005-0000-0000-0000C6710000}"/>
    <cellStyle name="Total 66 4" xfId="28773" xr:uid="{00000000-0005-0000-0000-0000C7710000}"/>
    <cellStyle name="Total 66 5" xfId="28774" xr:uid="{00000000-0005-0000-0000-0000C8710000}"/>
    <cellStyle name="Total 66 6" xfId="28775" xr:uid="{00000000-0005-0000-0000-0000C9710000}"/>
    <cellStyle name="Total 66 7" xfId="28776" xr:uid="{00000000-0005-0000-0000-0000CA710000}"/>
    <cellStyle name="Total 66 8" xfId="28777" xr:uid="{00000000-0005-0000-0000-0000CB710000}"/>
    <cellStyle name="Total 66 9" xfId="28778" xr:uid="{00000000-0005-0000-0000-0000CC710000}"/>
    <cellStyle name="Total 67" xfId="28779" xr:uid="{00000000-0005-0000-0000-0000CD710000}"/>
    <cellStyle name="Total 67 2" xfId="28780" xr:uid="{00000000-0005-0000-0000-0000CE710000}"/>
    <cellStyle name="Total 67 3" xfId="28781" xr:uid="{00000000-0005-0000-0000-0000CF710000}"/>
    <cellStyle name="Total 67 4" xfId="28782" xr:uid="{00000000-0005-0000-0000-0000D0710000}"/>
    <cellStyle name="Total 67 5" xfId="28783" xr:uid="{00000000-0005-0000-0000-0000D1710000}"/>
    <cellStyle name="Total 67 6" xfId="28784" xr:uid="{00000000-0005-0000-0000-0000D2710000}"/>
    <cellStyle name="Total 67 7" xfId="28785" xr:uid="{00000000-0005-0000-0000-0000D3710000}"/>
    <cellStyle name="Total 67 8" xfId="28786" xr:uid="{00000000-0005-0000-0000-0000D4710000}"/>
    <cellStyle name="Total 67 9" xfId="28787" xr:uid="{00000000-0005-0000-0000-0000D5710000}"/>
    <cellStyle name="Total 68" xfId="28788" xr:uid="{00000000-0005-0000-0000-0000D6710000}"/>
    <cellStyle name="Total 68 2" xfId="28789" xr:uid="{00000000-0005-0000-0000-0000D7710000}"/>
    <cellStyle name="Total 68 3" xfId="28790" xr:uid="{00000000-0005-0000-0000-0000D8710000}"/>
    <cellStyle name="Total 68 4" xfId="28791" xr:uid="{00000000-0005-0000-0000-0000D9710000}"/>
    <cellStyle name="Total 68 5" xfId="28792" xr:uid="{00000000-0005-0000-0000-0000DA710000}"/>
    <cellStyle name="Total 68 6" xfId="28793" xr:uid="{00000000-0005-0000-0000-0000DB710000}"/>
    <cellStyle name="Total 68 7" xfId="28794" xr:uid="{00000000-0005-0000-0000-0000DC710000}"/>
    <cellStyle name="Total 68 8" xfId="28795" xr:uid="{00000000-0005-0000-0000-0000DD710000}"/>
    <cellStyle name="Total 68 9" xfId="28796" xr:uid="{00000000-0005-0000-0000-0000DE710000}"/>
    <cellStyle name="Total 69" xfId="28797" xr:uid="{00000000-0005-0000-0000-0000DF710000}"/>
    <cellStyle name="Total 69 2" xfId="28798" xr:uid="{00000000-0005-0000-0000-0000E0710000}"/>
    <cellStyle name="Total 69 3" xfId="28799" xr:uid="{00000000-0005-0000-0000-0000E1710000}"/>
    <cellStyle name="Total 69 4" xfId="28800" xr:uid="{00000000-0005-0000-0000-0000E2710000}"/>
    <cellStyle name="Total 69 5" xfId="28801" xr:uid="{00000000-0005-0000-0000-0000E3710000}"/>
    <cellStyle name="Total 69 6" xfId="28802" xr:uid="{00000000-0005-0000-0000-0000E4710000}"/>
    <cellStyle name="Total 69 7" xfId="28803" xr:uid="{00000000-0005-0000-0000-0000E5710000}"/>
    <cellStyle name="Total 69 8" xfId="28804" xr:uid="{00000000-0005-0000-0000-0000E6710000}"/>
    <cellStyle name="Total 69 9" xfId="28805" xr:uid="{00000000-0005-0000-0000-0000E7710000}"/>
    <cellStyle name="Total 7" xfId="49" xr:uid="{00000000-0005-0000-0000-0000E8710000}"/>
    <cellStyle name="Total 7 10" xfId="28807" xr:uid="{00000000-0005-0000-0000-0000E9710000}"/>
    <cellStyle name="Total 7 11" xfId="28808" xr:uid="{00000000-0005-0000-0000-0000EA710000}"/>
    <cellStyle name="Total 7 12" xfId="28809" xr:uid="{00000000-0005-0000-0000-0000EB710000}"/>
    <cellStyle name="Total 7 13" xfId="28810" xr:uid="{00000000-0005-0000-0000-0000EC710000}"/>
    <cellStyle name="Total 7 14" xfId="28811" xr:uid="{00000000-0005-0000-0000-0000ED710000}"/>
    <cellStyle name="Total 7 15" xfId="28812" xr:uid="{00000000-0005-0000-0000-0000EE710000}"/>
    <cellStyle name="Total 7 16" xfId="28806" xr:uid="{00000000-0005-0000-0000-0000EF710000}"/>
    <cellStyle name="Total 7 2" xfId="28813" xr:uid="{00000000-0005-0000-0000-0000F0710000}"/>
    <cellStyle name="Total 7 2 2" xfId="28814" xr:uid="{00000000-0005-0000-0000-0000F1710000}"/>
    <cellStyle name="Total 7 2 2 2" xfId="28815" xr:uid="{00000000-0005-0000-0000-0000F2710000}"/>
    <cellStyle name="Total 7 2 2 3" xfId="28816" xr:uid="{00000000-0005-0000-0000-0000F3710000}"/>
    <cellStyle name="Total 7 2 2 4" xfId="28817" xr:uid="{00000000-0005-0000-0000-0000F4710000}"/>
    <cellStyle name="Total 7 2 2 5" xfId="28818" xr:uid="{00000000-0005-0000-0000-0000F5710000}"/>
    <cellStyle name="Total 7 2 2 6" xfId="28819" xr:uid="{00000000-0005-0000-0000-0000F6710000}"/>
    <cellStyle name="Total 7 2 2 7" xfId="28820" xr:uid="{00000000-0005-0000-0000-0000F7710000}"/>
    <cellStyle name="Total 7 2 3" xfId="28821" xr:uid="{00000000-0005-0000-0000-0000F8710000}"/>
    <cellStyle name="Total 7 2 4" xfId="28822" xr:uid="{00000000-0005-0000-0000-0000F9710000}"/>
    <cellStyle name="Total 7 2 5" xfId="28823" xr:uid="{00000000-0005-0000-0000-0000FA710000}"/>
    <cellStyle name="Total 7 2 6" xfId="28824" xr:uid="{00000000-0005-0000-0000-0000FB710000}"/>
    <cellStyle name="Total 7 2 7" xfId="28825" xr:uid="{00000000-0005-0000-0000-0000FC710000}"/>
    <cellStyle name="Total 7 3" xfId="28826" xr:uid="{00000000-0005-0000-0000-0000FD710000}"/>
    <cellStyle name="Total 7 3 2" xfId="28827" xr:uid="{00000000-0005-0000-0000-0000FE710000}"/>
    <cellStyle name="Total 7 3 2 2" xfId="28828" xr:uid="{00000000-0005-0000-0000-0000FF710000}"/>
    <cellStyle name="Total 7 3 2 3" xfId="28829" xr:uid="{00000000-0005-0000-0000-000000720000}"/>
    <cellStyle name="Total 7 3 2 4" xfId="28830" xr:uid="{00000000-0005-0000-0000-000001720000}"/>
    <cellStyle name="Total 7 3 2 5" xfId="28831" xr:uid="{00000000-0005-0000-0000-000002720000}"/>
    <cellStyle name="Total 7 3 2 6" xfId="28832" xr:uid="{00000000-0005-0000-0000-000003720000}"/>
    <cellStyle name="Total 7 3 2 7" xfId="28833" xr:uid="{00000000-0005-0000-0000-000004720000}"/>
    <cellStyle name="Total 7 3 3" xfId="28834" xr:uid="{00000000-0005-0000-0000-000005720000}"/>
    <cellStyle name="Total 7 3 4" xfId="28835" xr:uid="{00000000-0005-0000-0000-000006720000}"/>
    <cellStyle name="Total 7 3 5" xfId="28836" xr:uid="{00000000-0005-0000-0000-000007720000}"/>
    <cellStyle name="Total 7 3 6" xfId="28837" xr:uid="{00000000-0005-0000-0000-000008720000}"/>
    <cellStyle name="Total 7 3 7" xfId="28838" xr:uid="{00000000-0005-0000-0000-000009720000}"/>
    <cellStyle name="Total 7 4" xfId="28839" xr:uid="{00000000-0005-0000-0000-00000A720000}"/>
    <cellStyle name="Total 7 4 2" xfId="28840" xr:uid="{00000000-0005-0000-0000-00000B720000}"/>
    <cellStyle name="Total 7 4 2 2" xfId="28841" xr:uid="{00000000-0005-0000-0000-00000C720000}"/>
    <cellStyle name="Total 7 4 2 3" xfId="28842" xr:uid="{00000000-0005-0000-0000-00000D720000}"/>
    <cellStyle name="Total 7 4 2 4" xfId="28843" xr:uid="{00000000-0005-0000-0000-00000E720000}"/>
    <cellStyle name="Total 7 4 2 5" xfId="28844" xr:uid="{00000000-0005-0000-0000-00000F720000}"/>
    <cellStyle name="Total 7 4 2 6" xfId="28845" xr:uid="{00000000-0005-0000-0000-000010720000}"/>
    <cellStyle name="Total 7 4 2 7" xfId="28846" xr:uid="{00000000-0005-0000-0000-000011720000}"/>
    <cellStyle name="Total 7 4 3" xfId="28847" xr:uid="{00000000-0005-0000-0000-000012720000}"/>
    <cellStyle name="Total 7 4 4" xfId="28848" xr:uid="{00000000-0005-0000-0000-000013720000}"/>
    <cellStyle name="Total 7 4 5" xfId="28849" xr:uid="{00000000-0005-0000-0000-000014720000}"/>
    <cellStyle name="Total 7 4 6" xfId="28850" xr:uid="{00000000-0005-0000-0000-000015720000}"/>
    <cellStyle name="Total 7 4 7" xfId="28851" xr:uid="{00000000-0005-0000-0000-000016720000}"/>
    <cellStyle name="Total 7 5" xfId="28852" xr:uid="{00000000-0005-0000-0000-000017720000}"/>
    <cellStyle name="Total 7 5 2" xfId="28853" xr:uid="{00000000-0005-0000-0000-000018720000}"/>
    <cellStyle name="Total 7 5 2 2" xfId="28854" xr:uid="{00000000-0005-0000-0000-000019720000}"/>
    <cellStyle name="Total 7 5 2 3" xfId="28855" xr:uid="{00000000-0005-0000-0000-00001A720000}"/>
    <cellStyle name="Total 7 5 2 4" xfId="28856" xr:uid="{00000000-0005-0000-0000-00001B720000}"/>
    <cellStyle name="Total 7 5 2 5" xfId="28857" xr:uid="{00000000-0005-0000-0000-00001C720000}"/>
    <cellStyle name="Total 7 5 2 6" xfId="28858" xr:uid="{00000000-0005-0000-0000-00001D720000}"/>
    <cellStyle name="Total 7 5 2 7" xfId="28859" xr:uid="{00000000-0005-0000-0000-00001E720000}"/>
    <cellStyle name="Total 7 5 3" xfId="28860" xr:uid="{00000000-0005-0000-0000-00001F720000}"/>
    <cellStyle name="Total 7 5 4" xfId="28861" xr:uid="{00000000-0005-0000-0000-000020720000}"/>
    <cellStyle name="Total 7 5 5" xfId="28862" xr:uid="{00000000-0005-0000-0000-000021720000}"/>
    <cellStyle name="Total 7 5 6" xfId="28863" xr:uid="{00000000-0005-0000-0000-000022720000}"/>
    <cellStyle name="Total 7 5 7" xfId="28864" xr:uid="{00000000-0005-0000-0000-000023720000}"/>
    <cellStyle name="Total 7 6" xfId="28865" xr:uid="{00000000-0005-0000-0000-000024720000}"/>
    <cellStyle name="Total 7 6 2" xfId="28866" xr:uid="{00000000-0005-0000-0000-000025720000}"/>
    <cellStyle name="Total 7 6 2 2" xfId="28867" xr:uid="{00000000-0005-0000-0000-000026720000}"/>
    <cellStyle name="Total 7 6 2 3" xfId="28868" xr:uid="{00000000-0005-0000-0000-000027720000}"/>
    <cellStyle name="Total 7 6 2 4" xfId="28869" xr:uid="{00000000-0005-0000-0000-000028720000}"/>
    <cellStyle name="Total 7 6 2 5" xfId="28870" xr:uid="{00000000-0005-0000-0000-000029720000}"/>
    <cellStyle name="Total 7 6 2 6" xfId="28871" xr:uid="{00000000-0005-0000-0000-00002A720000}"/>
    <cellStyle name="Total 7 6 2 7" xfId="28872" xr:uid="{00000000-0005-0000-0000-00002B720000}"/>
    <cellStyle name="Total 7 6 3" xfId="28873" xr:uid="{00000000-0005-0000-0000-00002C720000}"/>
    <cellStyle name="Total 7 6 4" xfId="28874" xr:uid="{00000000-0005-0000-0000-00002D720000}"/>
    <cellStyle name="Total 7 6 5" xfId="28875" xr:uid="{00000000-0005-0000-0000-00002E720000}"/>
    <cellStyle name="Total 7 6 6" xfId="28876" xr:uid="{00000000-0005-0000-0000-00002F720000}"/>
    <cellStyle name="Total 7 6 7" xfId="28877" xr:uid="{00000000-0005-0000-0000-000030720000}"/>
    <cellStyle name="Total 7 7" xfId="28878" xr:uid="{00000000-0005-0000-0000-000031720000}"/>
    <cellStyle name="Total 7 7 2" xfId="28879" xr:uid="{00000000-0005-0000-0000-000032720000}"/>
    <cellStyle name="Total 7 7 2 2" xfId="28880" xr:uid="{00000000-0005-0000-0000-000033720000}"/>
    <cellStyle name="Total 7 7 2 3" xfId="28881" xr:uid="{00000000-0005-0000-0000-000034720000}"/>
    <cellStyle name="Total 7 7 2 4" xfId="28882" xr:uid="{00000000-0005-0000-0000-000035720000}"/>
    <cellStyle name="Total 7 7 2 5" xfId="28883" xr:uid="{00000000-0005-0000-0000-000036720000}"/>
    <cellStyle name="Total 7 7 2 6" xfId="28884" xr:uid="{00000000-0005-0000-0000-000037720000}"/>
    <cellStyle name="Total 7 7 2 7" xfId="28885" xr:uid="{00000000-0005-0000-0000-000038720000}"/>
    <cellStyle name="Total 7 7 3" xfId="28886" xr:uid="{00000000-0005-0000-0000-000039720000}"/>
    <cellStyle name="Total 7 7 4" xfId="28887" xr:uid="{00000000-0005-0000-0000-00003A720000}"/>
    <cellStyle name="Total 7 7 5" xfId="28888" xr:uid="{00000000-0005-0000-0000-00003B720000}"/>
    <cellStyle name="Total 7 7 6" xfId="28889" xr:uid="{00000000-0005-0000-0000-00003C720000}"/>
    <cellStyle name="Total 7 7 7" xfId="28890" xr:uid="{00000000-0005-0000-0000-00003D720000}"/>
    <cellStyle name="Total 7 8" xfId="28891" xr:uid="{00000000-0005-0000-0000-00003E720000}"/>
    <cellStyle name="Total 7 8 2" xfId="28892" xr:uid="{00000000-0005-0000-0000-00003F720000}"/>
    <cellStyle name="Total 7 8 3" xfId="28893" xr:uid="{00000000-0005-0000-0000-000040720000}"/>
    <cellStyle name="Total 7 8 4" xfId="28894" xr:uid="{00000000-0005-0000-0000-000041720000}"/>
    <cellStyle name="Total 7 8 5" xfId="28895" xr:uid="{00000000-0005-0000-0000-000042720000}"/>
    <cellStyle name="Total 7 8 6" xfId="28896" xr:uid="{00000000-0005-0000-0000-000043720000}"/>
    <cellStyle name="Total 7 8 7" xfId="28897" xr:uid="{00000000-0005-0000-0000-000044720000}"/>
    <cellStyle name="Total 7 9" xfId="28898" xr:uid="{00000000-0005-0000-0000-000045720000}"/>
    <cellStyle name="Total 70" xfId="28899" xr:uid="{00000000-0005-0000-0000-000046720000}"/>
    <cellStyle name="Total 70 2" xfId="28900" xr:uid="{00000000-0005-0000-0000-000047720000}"/>
    <cellStyle name="Total 70 3" xfId="28901" xr:uid="{00000000-0005-0000-0000-000048720000}"/>
    <cellStyle name="Total 70 4" xfId="28902" xr:uid="{00000000-0005-0000-0000-000049720000}"/>
    <cellStyle name="Total 70 5" xfId="28903" xr:uid="{00000000-0005-0000-0000-00004A720000}"/>
    <cellStyle name="Total 70 6" xfId="28904" xr:uid="{00000000-0005-0000-0000-00004B720000}"/>
    <cellStyle name="Total 70 7" xfId="28905" xr:uid="{00000000-0005-0000-0000-00004C720000}"/>
    <cellStyle name="Total 70 8" xfId="28906" xr:uid="{00000000-0005-0000-0000-00004D720000}"/>
    <cellStyle name="Total 70 9" xfId="28907" xr:uid="{00000000-0005-0000-0000-00004E720000}"/>
    <cellStyle name="Total 71" xfId="28908" xr:uid="{00000000-0005-0000-0000-00004F720000}"/>
    <cellStyle name="Total 71 2" xfId="28909" xr:uid="{00000000-0005-0000-0000-000050720000}"/>
    <cellStyle name="Total 71 3" xfId="28910" xr:uid="{00000000-0005-0000-0000-000051720000}"/>
    <cellStyle name="Total 71 4" xfId="28911" xr:uid="{00000000-0005-0000-0000-000052720000}"/>
    <cellStyle name="Total 71 5" xfId="28912" xr:uid="{00000000-0005-0000-0000-000053720000}"/>
    <cellStyle name="Total 71 6" xfId="28913" xr:uid="{00000000-0005-0000-0000-000054720000}"/>
    <cellStyle name="Total 71 7" xfId="28914" xr:uid="{00000000-0005-0000-0000-000055720000}"/>
    <cellStyle name="Total 71 8" xfId="28915" xr:uid="{00000000-0005-0000-0000-000056720000}"/>
    <cellStyle name="Total 71 9" xfId="28916" xr:uid="{00000000-0005-0000-0000-000057720000}"/>
    <cellStyle name="Total 72" xfId="28917" xr:uid="{00000000-0005-0000-0000-000058720000}"/>
    <cellStyle name="Total 73" xfId="28918" xr:uid="{00000000-0005-0000-0000-000059720000}"/>
    <cellStyle name="Total 74" xfId="28919" xr:uid="{00000000-0005-0000-0000-00005A720000}"/>
    <cellStyle name="Total 75" xfId="28920" xr:uid="{00000000-0005-0000-0000-00005B720000}"/>
    <cellStyle name="Total 76" xfId="28921" xr:uid="{00000000-0005-0000-0000-00005C720000}"/>
    <cellStyle name="Total 77" xfId="28922" xr:uid="{00000000-0005-0000-0000-00005D720000}"/>
    <cellStyle name="Total 78" xfId="30796" xr:uid="{00000000-0005-0000-0000-00005E720000}"/>
    <cellStyle name="Total 8" xfId="116" xr:uid="{00000000-0005-0000-0000-00005F720000}"/>
    <cellStyle name="Total 8 10" xfId="28924" xr:uid="{00000000-0005-0000-0000-000060720000}"/>
    <cellStyle name="Total 8 11" xfId="28925" xr:uid="{00000000-0005-0000-0000-000061720000}"/>
    <cellStyle name="Total 8 12" xfId="28926" xr:uid="{00000000-0005-0000-0000-000062720000}"/>
    <cellStyle name="Total 8 13" xfId="28927" xr:uid="{00000000-0005-0000-0000-000063720000}"/>
    <cellStyle name="Total 8 14" xfId="28928" xr:uid="{00000000-0005-0000-0000-000064720000}"/>
    <cellStyle name="Total 8 15" xfId="28929" xr:uid="{00000000-0005-0000-0000-000065720000}"/>
    <cellStyle name="Total 8 16" xfId="28923" xr:uid="{00000000-0005-0000-0000-000066720000}"/>
    <cellStyle name="Total 8 2" xfId="28930" xr:uid="{00000000-0005-0000-0000-000067720000}"/>
    <cellStyle name="Total 8 2 2" xfId="28931" xr:uid="{00000000-0005-0000-0000-000068720000}"/>
    <cellStyle name="Total 8 2 2 2" xfId="28932" xr:uid="{00000000-0005-0000-0000-000069720000}"/>
    <cellStyle name="Total 8 2 2 3" xfId="28933" xr:uid="{00000000-0005-0000-0000-00006A720000}"/>
    <cellStyle name="Total 8 2 2 4" xfId="28934" xr:uid="{00000000-0005-0000-0000-00006B720000}"/>
    <cellStyle name="Total 8 2 2 5" xfId="28935" xr:uid="{00000000-0005-0000-0000-00006C720000}"/>
    <cellStyle name="Total 8 2 2 6" xfId="28936" xr:uid="{00000000-0005-0000-0000-00006D720000}"/>
    <cellStyle name="Total 8 2 2 7" xfId="28937" xr:uid="{00000000-0005-0000-0000-00006E720000}"/>
    <cellStyle name="Total 8 2 3" xfId="28938" xr:uid="{00000000-0005-0000-0000-00006F720000}"/>
    <cellStyle name="Total 8 2 4" xfId="28939" xr:uid="{00000000-0005-0000-0000-000070720000}"/>
    <cellStyle name="Total 8 2 5" xfId="28940" xr:uid="{00000000-0005-0000-0000-000071720000}"/>
    <cellStyle name="Total 8 2 6" xfId="28941" xr:uid="{00000000-0005-0000-0000-000072720000}"/>
    <cellStyle name="Total 8 2 7" xfId="28942" xr:uid="{00000000-0005-0000-0000-000073720000}"/>
    <cellStyle name="Total 8 3" xfId="28943" xr:uid="{00000000-0005-0000-0000-000074720000}"/>
    <cellStyle name="Total 8 3 2" xfId="28944" xr:uid="{00000000-0005-0000-0000-000075720000}"/>
    <cellStyle name="Total 8 3 2 2" xfId="28945" xr:uid="{00000000-0005-0000-0000-000076720000}"/>
    <cellStyle name="Total 8 3 2 3" xfId="28946" xr:uid="{00000000-0005-0000-0000-000077720000}"/>
    <cellStyle name="Total 8 3 2 4" xfId="28947" xr:uid="{00000000-0005-0000-0000-000078720000}"/>
    <cellStyle name="Total 8 3 2 5" xfId="28948" xr:uid="{00000000-0005-0000-0000-000079720000}"/>
    <cellStyle name="Total 8 3 2 6" xfId="28949" xr:uid="{00000000-0005-0000-0000-00007A720000}"/>
    <cellStyle name="Total 8 3 2 7" xfId="28950" xr:uid="{00000000-0005-0000-0000-00007B720000}"/>
    <cellStyle name="Total 8 3 3" xfId="28951" xr:uid="{00000000-0005-0000-0000-00007C720000}"/>
    <cellStyle name="Total 8 3 4" xfId="28952" xr:uid="{00000000-0005-0000-0000-00007D720000}"/>
    <cellStyle name="Total 8 3 5" xfId="28953" xr:uid="{00000000-0005-0000-0000-00007E720000}"/>
    <cellStyle name="Total 8 3 6" xfId="28954" xr:uid="{00000000-0005-0000-0000-00007F720000}"/>
    <cellStyle name="Total 8 3 7" xfId="28955" xr:uid="{00000000-0005-0000-0000-000080720000}"/>
    <cellStyle name="Total 8 4" xfId="28956" xr:uid="{00000000-0005-0000-0000-000081720000}"/>
    <cellStyle name="Total 8 4 2" xfId="28957" xr:uid="{00000000-0005-0000-0000-000082720000}"/>
    <cellStyle name="Total 8 4 2 2" xfId="28958" xr:uid="{00000000-0005-0000-0000-000083720000}"/>
    <cellStyle name="Total 8 4 2 3" xfId="28959" xr:uid="{00000000-0005-0000-0000-000084720000}"/>
    <cellStyle name="Total 8 4 2 4" xfId="28960" xr:uid="{00000000-0005-0000-0000-000085720000}"/>
    <cellStyle name="Total 8 4 2 5" xfId="28961" xr:uid="{00000000-0005-0000-0000-000086720000}"/>
    <cellStyle name="Total 8 4 2 6" xfId="28962" xr:uid="{00000000-0005-0000-0000-000087720000}"/>
    <cellStyle name="Total 8 4 2 7" xfId="28963" xr:uid="{00000000-0005-0000-0000-000088720000}"/>
    <cellStyle name="Total 8 4 3" xfId="28964" xr:uid="{00000000-0005-0000-0000-000089720000}"/>
    <cellStyle name="Total 8 4 4" xfId="28965" xr:uid="{00000000-0005-0000-0000-00008A720000}"/>
    <cellStyle name="Total 8 4 5" xfId="28966" xr:uid="{00000000-0005-0000-0000-00008B720000}"/>
    <cellStyle name="Total 8 4 6" xfId="28967" xr:uid="{00000000-0005-0000-0000-00008C720000}"/>
    <cellStyle name="Total 8 4 7" xfId="28968" xr:uid="{00000000-0005-0000-0000-00008D720000}"/>
    <cellStyle name="Total 8 5" xfId="28969" xr:uid="{00000000-0005-0000-0000-00008E720000}"/>
    <cellStyle name="Total 8 5 2" xfId="28970" xr:uid="{00000000-0005-0000-0000-00008F720000}"/>
    <cellStyle name="Total 8 5 2 2" xfId="28971" xr:uid="{00000000-0005-0000-0000-000090720000}"/>
    <cellStyle name="Total 8 5 2 3" xfId="28972" xr:uid="{00000000-0005-0000-0000-000091720000}"/>
    <cellStyle name="Total 8 5 2 4" xfId="28973" xr:uid="{00000000-0005-0000-0000-000092720000}"/>
    <cellStyle name="Total 8 5 2 5" xfId="28974" xr:uid="{00000000-0005-0000-0000-000093720000}"/>
    <cellStyle name="Total 8 5 2 6" xfId="28975" xr:uid="{00000000-0005-0000-0000-000094720000}"/>
    <cellStyle name="Total 8 5 2 7" xfId="28976" xr:uid="{00000000-0005-0000-0000-000095720000}"/>
    <cellStyle name="Total 8 5 3" xfId="28977" xr:uid="{00000000-0005-0000-0000-000096720000}"/>
    <cellStyle name="Total 8 5 4" xfId="28978" xr:uid="{00000000-0005-0000-0000-000097720000}"/>
    <cellStyle name="Total 8 5 5" xfId="28979" xr:uid="{00000000-0005-0000-0000-000098720000}"/>
    <cellStyle name="Total 8 5 6" xfId="28980" xr:uid="{00000000-0005-0000-0000-000099720000}"/>
    <cellStyle name="Total 8 5 7" xfId="28981" xr:uid="{00000000-0005-0000-0000-00009A720000}"/>
    <cellStyle name="Total 8 6" xfId="28982" xr:uid="{00000000-0005-0000-0000-00009B720000}"/>
    <cellStyle name="Total 8 6 2" xfId="28983" xr:uid="{00000000-0005-0000-0000-00009C720000}"/>
    <cellStyle name="Total 8 6 2 2" xfId="28984" xr:uid="{00000000-0005-0000-0000-00009D720000}"/>
    <cellStyle name="Total 8 6 2 3" xfId="28985" xr:uid="{00000000-0005-0000-0000-00009E720000}"/>
    <cellStyle name="Total 8 6 2 4" xfId="28986" xr:uid="{00000000-0005-0000-0000-00009F720000}"/>
    <cellStyle name="Total 8 6 2 5" xfId="28987" xr:uid="{00000000-0005-0000-0000-0000A0720000}"/>
    <cellStyle name="Total 8 6 2 6" xfId="28988" xr:uid="{00000000-0005-0000-0000-0000A1720000}"/>
    <cellStyle name="Total 8 6 2 7" xfId="28989" xr:uid="{00000000-0005-0000-0000-0000A2720000}"/>
    <cellStyle name="Total 8 6 3" xfId="28990" xr:uid="{00000000-0005-0000-0000-0000A3720000}"/>
    <cellStyle name="Total 8 6 4" xfId="28991" xr:uid="{00000000-0005-0000-0000-0000A4720000}"/>
    <cellStyle name="Total 8 6 5" xfId="28992" xr:uid="{00000000-0005-0000-0000-0000A5720000}"/>
    <cellStyle name="Total 8 6 6" xfId="28993" xr:uid="{00000000-0005-0000-0000-0000A6720000}"/>
    <cellStyle name="Total 8 6 7" xfId="28994" xr:uid="{00000000-0005-0000-0000-0000A7720000}"/>
    <cellStyle name="Total 8 7" xfId="28995" xr:uid="{00000000-0005-0000-0000-0000A8720000}"/>
    <cellStyle name="Total 8 7 2" xfId="28996" xr:uid="{00000000-0005-0000-0000-0000A9720000}"/>
    <cellStyle name="Total 8 7 2 2" xfId="28997" xr:uid="{00000000-0005-0000-0000-0000AA720000}"/>
    <cellStyle name="Total 8 7 2 3" xfId="28998" xr:uid="{00000000-0005-0000-0000-0000AB720000}"/>
    <cellStyle name="Total 8 7 2 4" xfId="28999" xr:uid="{00000000-0005-0000-0000-0000AC720000}"/>
    <cellStyle name="Total 8 7 2 5" xfId="29000" xr:uid="{00000000-0005-0000-0000-0000AD720000}"/>
    <cellStyle name="Total 8 7 2 6" xfId="29001" xr:uid="{00000000-0005-0000-0000-0000AE720000}"/>
    <cellStyle name="Total 8 7 2 7" xfId="29002" xr:uid="{00000000-0005-0000-0000-0000AF720000}"/>
    <cellStyle name="Total 8 7 3" xfId="29003" xr:uid="{00000000-0005-0000-0000-0000B0720000}"/>
    <cellStyle name="Total 8 7 4" xfId="29004" xr:uid="{00000000-0005-0000-0000-0000B1720000}"/>
    <cellStyle name="Total 8 7 5" xfId="29005" xr:uid="{00000000-0005-0000-0000-0000B2720000}"/>
    <cellStyle name="Total 8 7 6" xfId="29006" xr:uid="{00000000-0005-0000-0000-0000B3720000}"/>
    <cellStyle name="Total 8 7 7" xfId="29007" xr:uid="{00000000-0005-0000-0000-0000B4720000}"/>
    <cellStyle name="Total 8 8" xfId="29008" xr:uid="{00000000-0005-0000-0000-0000B5720000}"/>
    <cellStyle name="Total 8 8 2" xfId="29009" xr:uid="{00000000-0005-0000-0000-0000B6720000}"/>
    <cellStyle name="Total 8 8 3" xfId="29010" xr:uid="{00000000-0005-0000-0000-0000B7720000}"/>
    <cellStyle name="Total 8 8 4" xfId="29011" xr:uid="{00000000-0005-0000-0000-0000B8720000}"/>
    <cellStyle name="Total 8 8 5" xfId="29012" xr:uid="{00000000-0005-0000-0000-0000B9720000}"/>
    <cellStyle name="Total 8 8 6" xfId="29013" xr:uid="{00000000-0005-0000-0000-0000BA720000}"/>
    <cellStyle name="Total 8 8 7" xfId="29014" xr:uid="{00000000-0005-0000-0000-0000BB720000}"/>
    <cellStyle name="Total 8 9" xfId="29015" xr:uid="{00000000-0005-0000-0000-0000BC720000}"/>
    <cellStyle name="Total 9" xfId="117" xr:uid="{00000000-0005-0000-0000-0000BD720000}"/>
    <cellStyle name="Total 9 10" xfId="29017" xr:uid="{00000000-0005-0000-0000-0000BE720000}"/>
    <cellStyle name="Total 9 11" xfId="29018" xr:uid="{00000000-0005-0000-0000-0000BF720000}"/>
    <cellStyle name="Total 9 12" xfId="29019" xr:uid="{00000000-0005-0000-0000-0000C0720000}"/>
    <cellStyle name="Total 9 13" xfId="29020" xr:uid="{00000000-0005-0000-0000-0000C1720000}"/>
    <cellStyle name="Total 9 14" xfId="29021" xr:uid="{00000000-0005-0000-0000-0000C2720000}"/>
    <cellStyle name="Total 9 15" xfId="29022" xr:uid="{00000000-0005-0000-0000-0000C3720000}"/>
    <cellStyle name="Total 9 16" xfId="29016" xr:uid="{00000000-0005-0000-0000-0000C4720000}"/>
    <cellStyle name="Total 9 2" xfId="29023" xr:uid="{00000000-0005-0000-0000-0000C5720000}"/>
    <cellStyle name="Total 9 2 2" xfId="29024" xr:uid="{00000000-0005-0000-0000-0000C6720000}"/>
    <cellStyle name="Total 9 2 3" xfId="29025" xr:uid="{00000000-0005-0000-0000-0000C7720000}"/>
    <cellStyle name="Total 9 2 4" xfId="29026" xr:uid="{00000000-0005-0000-0000-0000C8720000}"/>
    <cellStyle name="Total 9 2 5" xfId="29027" xr:uid="{00000000-0005-0000-0000-0000C9720000}"/>
    <cellStyle name="Total 9 2 6" xfId="29028" xr:uid="{00000000-0005-0000-0000-0000CA720000}"/>
    <cellStyle name="Total 9 2 7" xfId="29029" xr:uid="{00000000-0005-0000-0000-0000CB720000}"/>
    <cellStyle name="Total 9 3" xfId="29030" xr:uid="{00000000-0005-0000-0000-0000CC720000}"/>
    <cellStyle name="Total 9 4" xfId="29031" xr:uid="{00000000-0005-0000-0000-0000CD720000}"/>
    <cellStyle name="Total 9 5" xfId="29032" xr:uid="{00000000-0005-0000-0000-0000CE720000}"/>
    <cellStyle name="Total 9 6" xfId="29033" xr:uid="{00000000-0005-0000-0000-0000CF720000}"/>
    <cellStyle name="Total 9 7" xfId="29034" xr:uid="{00000000-0005-0000-0000-0000D0720000}"/>
    <cellStyle name="Total 9 8" xfId="29035" xr:uid="{00000000-0005-0000-0000-0000D1720000}"/>
    <cellStyle name="Total 9 9" xfId="29036" xr:uid="{00000000-0005-0000-0000-0000D2720000}"/>
    <cellStyle name="Tusental (0)_9604" xfId="30629" xr:uid="{00000000-0005-0000-0000-0000D3720000}"/>
    <cellStyle name="Tusental 10" xfId="30630" xr:uid="{00000000-0005-0000-0000-0000D4720000}"/>
    <cellStyle name="Tusental 10 2" xfId="30631" xr:uid="{00000000-0005-0000-0000-0000D5720000}"/>
    <cellStyle name="Tusental 100" xfId="30632" xr:uid="{00000000-0005-0000-0000-0000D6720000}"/>
    <cellStyle name="Tusental 101" xfId="30633" xr:uid="{00000000-0005-0000-0000-0000D7720000}"/>
    <cellStyle name="Tusental 102" xfId="30634" xr:uid="{00000000-0005-0000-0000-0000D8720000}"/>
    <cellStyle name="Tusental 103" xfId="30635" xr:uid="{00000000-0005-0000-0000-0000D9720000}"/>
    <cellStyle name="Tusental 104" xfId="30636" xr:uid="{00000000-0005-0000-0000-0000DA720000}"/>
    <cellStyle name="Tusental 105" xfId="30637" xr:uid="{00000000-0005-0000-0000-0000DB720000}"/>
    <cellStyle name="Tusental 106" xfId="30638" xr:uid="{00000000-0005-0000-0000-0000DC720000}"/>
    <cellStyle name="Tusental 107" xfId="30639" xr:uid="{00000000-0005-0000-0000-0000DD720000}"/>
    <cellStyle name="Tusental 108" xfId="30640" xr:uid="{00000000-0005-0000-0000-0000DE720000}"/>
    <cellStyle name="Tusental 109" xfId="30641" xr:uid="{00000000-0005-0000-0000-0000DF720000}"/>
    <cellStyle name="Tusental 11" xfId="30642" xr:uid="{00000000-0005-0000-0000-0000E0720000}"/>
    <cellStyle name="Tusental 11 2" xfId="30643" xr:uid="{00000000-0005-0000-0000-0000E1720000}"/>
    <cellStyle name="Tusental 110" xfId="30644" xr:uid="{00000000-0005-0000-0000-0000E2720000}"/>
    <cellStyle name="Tusental 111" xfId="30645" xr:uid="{00000000-0005-0000-0000-0000E3720000}"/>
    <cellStyle name="Tusental 112" xfId="30646" xr:uid="{00000000-0005-0000-0000-0000E4720000}"/>
    <cellStyle name="Tusental 113" xfId="30647" xr:uid="{00000000-0005-0000-0000-0000E5720000}"/>
    <cellStyle name="Tusental 114" xfId="30648" xr:uid="{00000000-0005-0000-0000-0000E6720000}"/>
    <cellStyle name="Tusental 115" xfId="30649" xr:uid="{00000000-0005-0000-0000-0000E7720000}"/>
    <cellStyle name="Tusental 116" xfId="30650" xr:uid="{00000000-0005-0000-0000-0000E8720000}"/>
    <cellStyle name="Tusental 117" xfId="30651" xr:uid="{00000000-0005-0000-0000-0000E9720000}"/>
    <cellStyle name="Tusental 118" xfId="30652" xr:uid="{00000000-0005-0000-0000-0000EA720000}"/>
    <cellStyle name="Tusental 119" xfId="30653" xr:uid="{00000000-0005-0000-0000-0000EB720000}"/>
    <cellStyle name="Tusental 12" xfId="30654" xr:uid="{00000000-0005-0000-0000-0000EC720000}"/>
    <cellStyle name="Tusental 12 2" xfId="30655" xr:uid="{00000000-0005-0000-0000-0000ED720000}"/>
    <cellStyle name="Tusental 120" xfId="30656" xr:uid="{00000000-0005-0000-0000-0000EE720000}"/>
    <cellStyle name="Tusental 121" xfId="30657" xr:uid="{00000000-0005-0000-0000-0000EF720000}"/>
    <cellStyle name="Tusental 122" xfId="30658" xr:uid="{00000000-0005-0000-0000-0000F0720000}"/>
    <cellStyle name="Tusental 123" xfId="30659" xr:uid="{00000000-0005-0000-0000-0000F1720000}"/>
    <cellStyle name="Tusental 124" xfId="30660" xr:uid="{00000000-0005-0000-0000-0000F2720000}"/>
    <cellStyle name="Tusental 125" xfId="30661" xr:uid="{00000000-0005-0000-0000-0000F3720000}"/>
    <cellStyle name="Tusental 126" xfId="30662" xr:uid="{00000000-0005-0000-0000-0000F4720000}"/>
    <cellStyle name="Tusental 127" xfId="30663" xr:uid="{00000000-0005-0000-0000-0000F5720000}"/>
    <cellStyle name="Tusental 128" xfId="30664" xr:uid="{00000000-0005-0000-0000-0000F6720000}"/>
    <cellStyle name="Tusental 129" xfId="30665" xr:uid="{00000000-0005-0000-0000-0000F7720000}"/>
    <cellStyle name="Tusental 13" xfId="30666" xr:uid="{00000000-0005-0000-0000-0000F8720000}"/>
    <cellStyle name="Tusental 13 2" xfId="30667" xr:uid="{00000000-0005-0000-0000-0000F9720000}"/>
    <cellStyle name="Tusental 130" xfId="30668" xr:uid="{00000000-0005-0000-0000-0000FA720000}"/>
    <cellStyle name="Tusental 131" xfId="30669" xr:uid="{00000000-0005-0000-0000-0000FB720000}"/>
    <cellStyle name="Tusental 132" xfId="30670" xr:uid="{00000000-0005-0000-0000-0000FC720000}"/>
    <cellStyle name="Tusental 133" xfId="30671" xr:uid="{00000000-0005-0000-0000-0000FD720000}"/>
    <cellStyle name="Tusental 134" xfId="30672" xr:uid="{00000000-0005-0000-0000-0000FE720000}"/>
    <cellStyle name="Tusental 135" xfId="30673" xr:uid="{00000000-0005-0000-0000-0000FF720000}"/>
    <cellStyle name="Tusental 136" xfId="30674" xr:uid="{00000000-0005-0000-0000-000000730000}"/>
    <cellStyle name="Tusental 137" xfId="30675" xr:uid="{00000000-0005-0000-0000-000001730000}"/>
    <cellStyle name="Tusental 138" xfId="30676" xr:uid="{00000000-0005-0000-0000-000002730000}"/>
    <cellStyle name="Tusental 139" xfId="30677" xr:uid="{00000000-0005-0000-0000-000003730000}"/>
    <cellStyle name="Tusental 14" xfId="30678" xr:uid="{00000000-0005-0000-0000-000004730000}"/>
    <cellStyle name="Tusental 14 2" xfId="30679" xr:uid="{00000000-0005-0000-0000-000005730000}"/>
    <cellStyle name="Tusental 140" xfId="30680" xr:uid="{00000000-0005-0000-0000-000006730000}"/>
    <cellStyle name="Tusental 15" xfId="30681" xr:uid="{00000000-0005-0000-0000-000007730000}"/>
    <cellStyle name="Tusental 15 2" xfId="30682" xr:uid="{00000000-0005-0000-0000-000008730000}"/>
    <cellStyle name="Tusental 16" xfId="30683" xr:uid="{00000000-0005-0000-0000-000009730000}"/>
    <cellStyle name="Tusental 16 2" xfId="30684" xr:uid="{00000000-0005-0000-0000-00000A730000}"/>
    <cellStyle name="Tusental 17" xfId="30685" xr:uid="{00000000-0005-0000-0000-00000B730000}"/>
    <cellStyle name="Tusental 17 2" xfId="30686" xr:uid="{00000000-0005-0000-0000-00000C730000}"/>
    <cellStyle name="Tusental 18" xfId="30687" xr:uid="{00000000-0005-0000-0000-00000D730000}"/>
    <cellStyle name="Tusental 18 2" xfId="30688" xr:uid="{00000000-0005-0000-0000-00000E730000}"/>
    <cellStyle name="Tusental 19" xfId="30689" xr:uid="{00000000-0005-0000-0000-00000F730000}"/>
    <cellStyle name="Tusental 19 2" xfId="30690" xr:uid="{00000000-0005-0000-0000-000010730000}"/>
    <cellStyle name="Tusental 2" xfId="30691" xr:uid="{00000000-0005-0000-0000-000011730000}"/>
    <cellStyle name="Tusental 20" xfId="30692" xr:uid="{00000000-0005-0000-0000-000012730000}"/>
    <cellStyle name="Tusental 20 2" xfId="30693" xr:uid="{00000000-0005-0000-0000-000013730000}"/>
    <cellStyle name="Tusental 21" xfId="30694" xr:uid="{00000000-0005-0000-0000-000014730000}"/>
    <cellStyle name="Tusental 21 2" xfId="30695" xr:uid="{00000000-0005-0000-0000-000015730000}"/>
    <cellStyle name="Tusental 22" xfId="30696" xr:uid="{00000000-0005-0000-0000-000016730000}"/>
    <cellStyle name="Tusental 22 2" xfId="30697" xr:uid="{00000000-0005-0000-0000-000017730000}"/>
    <cellStyle name="Tusental 23" xfId="30698" xr:uid="{00000000-0005-0000-0000-000018730000}"/>
    <cellStyle name="Tusental 23 2" xfId="30699" xr:uid="{00000000-0005-0000-0000-000019730000}"/>
    <cellStyle name="Tusental 23 3" xfId="30700" xr:uid="{00000000-0005-0000-0000-00001A730000}"/>
    <cellStyle name="Tusental 24" xfId="30701" xr:uid="{00000000-0005-0000-0000-00001B730000}"/>
    <cellStyle name="Tusental 25" xfId="30702" xr:uid="{00000000-0005-0000-0000-00001C730000}"/>
    <cellStyle name="Tusental 26" xfId="30703" xr:uid="{00000000-0005-0000-0000-00001D730000}"/>
    <cellStyle name="Tusental 27" xfId="30704" xr:uid="{00000000-0005-0000-0000-00001E730000}"/>
    <cellStyle name="Tusental 28" xfId="30705" xr:uid="{00000000-0005-0000-0000-00001F730000}"/>
    <cellStyle name="Tusental 29" xfId="30706" xr:uid="{00000000-0005-0000-0000-000020730000}"/>
    <cellStyle name="Tusental 3" xfId="30707" xr:uid="{00000000-0005-0000-0000-000021730000}"/>
    <cellStyle name="Tusental 3 2" xfId="30708" xr:uid="{00000000-0005-0000-0000-000022730000}"/>
    <cellStyle name="Tusental 3 3" xfId="30709" xr:uid="{00000000-0005-0000-0000-000023730000}"/>
    <cellStyle name="Tusental 30" xfId="30710" xr:uid="{00000000-0005-0000-0000-000024730000}"/>
    <cellStyle name="Tusental 31" xfId="30711" xr:uid="{00000000-0005-0000-0000-000025730000}"/>
    <cellStyle name="Tusental 32" xfId="30712" xr:uid="{00000000-0005-0000-0000-000026730000}"/>
    <cellStyle name="Tusental 33" xfId="30713" xr:uid="{00000000-0005-0000-0000-000027730000}"/>
    <cellStyle name="Tusental 34" xfId="30714" xr:uid="{00000000-0005-0000-0000-000028730000}"/>
    <cellStyle name="Tusental 35" xfId="30715" xr:uid="{00000000-0005-0000-0000-000029730000}"/>
    <cellStyle name="Tusental 36" xfId="30716" xr:uid="{00000000-0005-0000-0000-00002A730000}"/>
    <cellStyle name="Tusental 37" xfId="30717" xr:uid="{00000000-0005-0000-0000-00002B730000}"/>
    <cellStyle name="Tusental 38" xfId="30718" xr:uid="{00000000-0005-0000-0000-00002C730000}"/>
    <cellStyle name="Tusental 39" xfId="30719" xr:uid="{00000000-0005-0000-0000-00002D730000}"/>
    <cellStyle name="Tusental 4" xfId="30720" xr:uid="{00000000-0005-0000-0000-00002E730000}"/>
    <cellStyle name="Tusental 4 2" xfId="30721" xr:uid="{00000000-0005-0000-0000-00002F730000}"/>
    <cellStyle name="Tusental 40" xfId="30722" xr:uid="{00000000-0005-0000-0000-000030730000}"/>
    <cellStyle name="Tusental 41" xfId="30723" xr:uid="{00000000-0005-0000-0000-000031730000}"/>
    <cellStyle name="Tusental 42" xfId="30724" xr:uid="{00000000-0005-0000-0000-000032730000}"/>
    <cellStyle name="Tusental 43" xfId="30725" xr:uid="{00000000-0005-0000-0000-000033730000}"/>
    <cellStyle name="Tusental 44" xfId="30726" xr:uid="{00000000-0005-0000-0000-000034730000}"/>
    <cellStyle name="Tusental 45" xfId="30727" xr:uid="{00000000-0005-0000-0000-000035730000}"/>
    <cellStyle name="Tusental 46" xfId="30728" xr:uid="{00000000-0005-0000-0000-000036730000}"/>
    <cellStyle name="Tusental 47" xfId="30729" xr:uid="{00000000-0005-0000-0000-000037730000}"/>
    <cellStyle name="Tusental 48" xfId="30730" xr:uid="{00000000-0005-0000-0000-000038730000}"/>
    <cellStyle name="Tusental 49" xfId="30731" xr:uid="{00000000-0005-0000-0000-000039730000}"/>
    <cellStyle name="Tusental 5" xfId="30732" xr:uid="{00000000-0005-0000-0000-00003A730000}"/>
    <cellStyle name="Tusental 5 2" xfId="30733" xr:uid="{00000000-0005-0000-0000-00003B730000}"/>
    <cellStyle name="Tusental 50" xfId="30734" xr:uid="{00000000-0005-0000-0000-00003C730000}"/>
    <cellStyle name="Tusental 51" xfId="30735" xr:uid="{00000000-0005-0000-0000-00003D730000}"/>
    <cellStyle name="Tusental 52" xfId="30736" xr:uid="{00000000-0005-0000-0000-00003E730000}"/>
    <cellStyle name="Tusental 53" xfId="30737" xr:uid="{00000000-0005-0000-0000-00003F730000}"/>
    <cellStyle name="Tusental 54" xfId="30738" xr:uid="{00000000-0005-0000-0000-000040730000}"/>
    <cellStyle name="Tusental 55" xfId="30739" xr:uid="{00000000-0005-0000-0000-000041730000}"/>
    <cellStyle name="Tusental 56" xfId="30740" xr:uid="{00000000-0005-0000-0000-000042730000}"/>
    <cellStyle name="Tusental 57" xfId="30741" xr:uid="{00000000-0005-0000-0000-000043730000}"/>
    <cellStyle name="Tusental 58" xfId="30742" xr:uid="{00000000-0005-0000-0000-000044730000}"/>
    <cellStyle name="Tusental 59" xfId="30743" xr:uid="{00000000-0005-0000-0000-000045730000}"/>
    <cellStyle name="Tusental 6" xfId="30744" xr:uid="{00000000-0005-0000-0000-000046730000}"/>
    <cellStyle name="Tusental 6 2" xfId="30745" xr:uid="{00000000-0005-0000-0000-000047730000}"/>
    <cellStyle name="Tusental 60" xfId="30746" xr:uid="{00000000-0005-0000-0000-000048730000}"/>
    <cellStyle name="Tusental 61" xfId="30747" xr:uid="{00000000-0005-0000-0000-000049730000}"/>
    <cellStyle name="Tusental 62" xfId="30748" xr:uid="{00000000-0005-0000-0000-00004A730000}"/>
    <cellStyle name="Tusental 63" xfId="30749" xr:uid="{00000000-0005-0000-0000-00004B730000}"/>
    <cellStyle name="Tusental 64" xfId="30750" xr:uid="{00000000-0005-0000-0000-00004C730000}"/>
    <cellStyle name="Tusental 65" xfId="30751" xr:uid="{00000000-0005-0000-0000-00004D730000}"/>
    <cellStyle name="Tusental 66" xfId="30752" xr:uid="{00000000-0005-0000-0000-00004E730000}"/>
    <cellStyle name="Tusental 67" xfId="30753" xr:uid="{00000000-0005-0000-0000-00004F730000}"/>
    <cellStyle name="Tusental 68" xfId="30754" xr:uid="{00000000-0005-0000-0000-000050730000}"/>
    <cellStyle name="Tusental 69" xfId="30755" xr:uid="{00000000-0005-0000-0000-000051730000}"/>
    <cellStyle name="Tusental 7" xfId="30756" xr:uid="{00000000-0005-0000-0000-000052730000}"/>
    <cellStyle name="Tusental 7 2" xfId="30757" xr:uid="{00000000-0005-0000-0000-000053730000}"/>
    <cellStyle name="Tusental 70" xfId="30758" xr:uid="{00000000-0005-0000-0000-000054730000}"/>
    <cellStyle name="Tusental 71" xfId="30759" xr:uid="{00000000-0005-0000-0000-000055730000}"/>
    <cellStyle name="Tusental 72" xfId="30760" xr:uid="{00000000-0005-0000-0000-000056730000}"/>
    <cellStyle name="Tusental 73" xfId="30761" xr:uid="{00000000-0005-0000-0000-000057730000}"/>
    <cellStyle name="Tusental 74" xfId="30762" xr:uid="{00000000-0005-0000-0000-000058730000}"/>
    <cellStyle name="Tusental 75" xfId="30763" xr:uid="{00000000-0005-0000-0000-000059730000}"/>
    <cellStyle name="Tusental 76" xfId="30764" xr:uid="{00000000-0005-0000-0000-00005A730000}"/>
    <cellStyle name="Tusental 77" xfId="30765" xr:uid="{00000000-0005-0000-0000-00005B730000}"/>
    <cellStyle name="Tusental 78" xfId="30766" xr:uid="{00000000-0005-0000-0000-00005C730000}"/>
    <cellStyle name="Tusental 79" xfId="30767" xr:uid="{00000000-0005-0000-0000-00005D730000}"/>
    <cellStyle name="Tusental 8" xfId="30768" xr:uid="{00000000-0005-0000-0000-00005E730000}"/>
    <cellStyle name="Tusental 8 2" xfId="30769" xr:uid="{00000000-0005-0000-0000-00005F730000}"/>
    <cellStyle name="Tusental 80" xfId="30770" xr:uid="{00000000-0005-0000-0000-000060730000}"/>
    <cellStyle name="Tusental 81" xfId="30771" xr:uid="{00000000-0005-0000-0000-000061730000}"/>
    <cellStyle name="Tusental 82" xfId="30772" xr:uid="{00000000-0005-0000-0000-000062730000}"/>
    <cellStyle name="Tusental 83" xfId="30773" xr:uid="{00000000-0005-0000-0000-000063730000}"/>
    <cellStyle name="Tusental 84" xfId="30774" xr:uid="{00000000-0005-0000-0000-000064730000}"/>
    <cellStyle name="Tusental 85" xfId="30775" xr:uid="{00000000-0005-0000-0000-000065730000}"/>
    <cellStyle name="Tusental 86" xfId="30776" xr:uid="{00000000-0005-0000-0000-000066730000}"/>
    <cellStyle name="Tusental 87" xfId="30777" xr:uid="{00000000-0005-0000-0000-000067730000}"/>
    <cellStyle name="Tusental 88" xfId="30778" xr:uid="{00000000-0005-0000-0000-000068730000}"/>
    <cellStyle name="Tusental 89" xfId="30779" xr:uid="{00000000-0005-0000-0000-000069730000}"/>
    <cellStyle name="Tusental 9" xfId="30780" xr:uid="{00000000-0005-0000-0000-00006A730000}"/>
    <cellStyle name="Tusental 9 2" xfId="30781" xr:uid="{00000000-0005-0000-0000-00006B730000}"/>
    <cellStyle name="Tusental 90" xfId="30782" xr:uid="{00000000-0005-0000-0000-00006C730000}"/>
    <cellStyle name="Tusental 91" xfId="30783" xr:uid="{00000000-0005-0000-0000-00006D730000}"/>
    <cellStyle name="Tusental 92" xfId="30784" xr:uid="{00000000-0005-0000-0000-00006E730000}"/>
    <cellStyle name="Tusental 93" xfId="30785" xr:uid="{00000000-0005-0000-0000-00006F730000}"/>
    <cellStyle name="Tusental 94" xfId="30786" xr:uid="{00000000-0005-0000-0000-000070730000}"/>
    <cellStyle name="Tusental 95" xfId="30787" xr:uid="{00000000-0005-0000-0000-000071730000}"/>
    <cellStyle name="Tusental 96" xfId="30788" xr:uid="{00000000-0005-0000-0000-000072730000}"/>
    <cellStyle name="Tusental 97" xfId="30789" xr:uid="{00000000-0005-0000-0000-000073730000}"/>
    <cellStyle name="Tusental 98" xfId="30790" xr:uid="{00000000-0005-0000-0000-000074730000}"/>
    <cellStyle name="Tusental 99" xfId="30791" xr:uid="{00000000-0005-0000-0000-000075730000}"/>
    <cellStyle name="Tusental_Beräkning" xfId="29037" xr:uid="{00000000-0005-0000-0000-000076730000}"/>
    <cellStyle name="Tölur" xfId="50" xr:uid="{00000000-0005-0000-0000-000077730000}"/>
    <cellStyle name="Tölur 2" xfId="29039" xr:uid="{00000000-0005-0000-0000-000078730000}"/>
    <cellStyle name="Tölur 3" xfId="29038" xr:uid="{00000000-0005-0000-0000-000079730000}"/>
    <cellStyle name="Valuta (0)_9604" xfId="30792" xr:uid="{00000000-0005-0000-0000-00007A730000}"/>
    <cellStyle name="Valuta_Beräkning" xfId="29040" xr:uid="{00000000-0005-0000-0000-00007B730000}"/>
    <cellStyle name="Warning Text" xfId="30297" builtinId="11" customBuiltin="1"/>
    <cellStyle name="Warning Text 10" xfId="29041" xr:uid="{00000000-0005-0000-0000-00007D730000}"/>
    <cellStyle name="Warning Text 10 2" xfId="29042" xr:uid="{00000000-0005-0000-0000-00007E730000}"/>
    <cellStyle name="Warning Text 10 3" xfId="29043" xr:uid="{00000000-0005-0000-0000-00007F730000}"/>
    <cellStyle name="Warning Text 10 4" xfId="29044" xr:uid="{00000000-0005-0000-0000-000080730000}"/>
    <cellStyle name="Warning Text 10 5" xfId="29045" xr:uid="{00000000-0005-0000-0000-000081730000}"/>
    <cellStyle name="Warning Text 10 6" xfId="29046" xr:uid="{00000000-0005-0000-0000-000082730000}"/>
    <cellStyle name="Warning Text 10 7" xfId="29047" xr:uid="{00000000-0005-0000-0000-000083730000}"/>
    <cellStyle name="Warning Text 10 8" xfId="29048" xr:uid="{00000000-0005-0000-0000-000084730000}"/>
    <cellStyle name="Warning Text 10 9" xfId="29049" xr:uid="{00000000-0005-0000-0000-000085730000}"/>
    <cellStyle name="Warning Text 11" xfId="29050" xr:uid="{00000000-0005-0000-0000-000086730000}"/>
    <cellStyle name="Warning Text 11 2" xfId="29051" xr:uid="{00000000-0005-0000-0000-000087730000}"/>
    <cellStyle name="Warning Text 11 3" xfId="29052" xr:uid="{00000000-0005-0000-0000-000088730000}"/>
    <cellStyle name="Warning Text 11 4" xfId="29053" xr:uid="{00000000-0005-0000-0000-000089730000}"/>
    <cellStyle name="Warning Text 11 5" xfId="29054" xr:uid="{00000000-0005-0000-0000-00008A730000}"/>
    <cellStyle name="Warning Text 11 6" xfId="29055" xr:uid="{00000000-0005-0000-0000-00008B730000}"/>
    <cellStyle name="Warning Text 11 7" xfId="29056" xr:uid="{00000000-0005-0000-0000-00008C730000}"/>
    <cellStyle name="Warning Text 11 8" xfId="29057" xr:uid="{00000000-0005-0000-0000-00008D730000}"/>
    <cellStyle name="Warning Text 11 9" xfId="29058" xr:uid="{00000000-0005-0000-0000-00008E730000}"/>
    <cellStyle name="Warning Text 12" xfId="29059" xr:uid="{00000000-0005-0000-0000-00008F730000}"/>
    <cellStyle name="Warning Text 12 2" xfId="29060" xr:uid="{00000000-0005-0000-0000-000090730000}"/>
    <cellStyle name="Warning Text 12 3" xfId="29061" xr:uid="{00000000-0005-0000-0000-000091730000}"/>
    <cellStyle name="Warning Text 12 4" xfId="29062" xr:uid="{00000000-0005-0000-0000-000092730000}"/>
    <cellStyle name="Warning Text 12 5" xfId="29063" xr:uid="{00000000-0005-0000-0000-000093730000}"/>
    <cellStyle name="Warning Text 12 6" xfId="29064" xr:uid="{00000000-0005-0000-0000-000094730000}"/>
    <cellStyle name="Warning Text 12 7" xfId="29065" xr:uid="{00000000-0005-0000-0000-000095730000}"/>
    <cellStyle name="Warning Text 12 8" xfId="29066" xr:uid="{00000000-0005-0000-0000-000096730000}"/>
    <cellStyle name="Warning Text 12 9" xfId="29067" xr:uid="{00000000-0005-0000-0000-000097730000}"/>
    <cellStyle name="Warning Text 13" xfId="29068" xr:uid="{00000000-0005-0000-0000-000098730000}"/>
    <cellStyle name="Warning Text 13 2" xfId="29069" xr:uid="{00000000-0005-0000-0000-000099730000}"/>
    <cellStyle name="Warning Text 13 3" xfId="29070" xr:uid="{00000000-0005-0000-0000-00009A730000}"/>
    <cellStyle name="Warning Text 13 4" xfId="29071" xr:uid="{00000000-0005-0000-0000-00009B730000}"/>
    <cellStyle name="Warning Text 13 5" xfId="29072" xr:uid="{00000000-0005-0000-0000-00009C730000}"/>
    <cellStyle name="Warning Text 13 6" xfId="29073" xr:uid="{00000000-0005-0000-0000-00009D730000}"/>
    <cellStyle name="Warning Text 13 7" xfId="29074" xr:uid="{00000000-0005-0000-0000-00009E730000}"/>
    <cellStyle name="Warning Text 13 8" xfId="29075" xr:uid="{00000000-0005-0000-0000-00009F730000}"/>
    <cellStyle name="Warning Text 13 9" xfId="29076" xr:uid="{00000000-0005-0000-0000-0000A0730000}"/>
    <cellStyle name="Warning Text 14" xfId="29077" xr:uid="{00000000-0005-0000-0000-0000A1730000}"/>
    <cellStyle name="Warning Text 14 2" xfId="29078" xr:uid="{00000000-0005-0000-0000-0000A2730000}"/>
    <cellStyle name="Warning Text 14 3" xfId="29079" xr:uid="{00000000-0005-0000-0000-0000A3730000}"/>
    <cellStyle name="Warning Text 14 4" xfId="29080" xr:uid="{00000000-0005-0000-0000-0000A4730000}"/>
    <cellStyle name="Warning Text 14 5" xfId="29081" xr:uid="{00000000-0005-0000-0000-0000A5730000}"/>
    <cellStyle name="Warning Text 14 6" xfId="29082" xr:uid="{00000000-0005-0000-0000-0000A6730000}"/>
    <cellStyle name="Warning Text 14 7" xfId="29083" xr:uid="{00000000-0005-0000-0000-0000A7730000}"/>
    <cellStyle name="Warning Text 14 8" xfId="29084" xr:uid="{00000000-0005-0000-0000-0000A8730000}"/>
    <cellStyle name="Warning Text 14 9" xfId="29085" xr:uid="{00000000-0005-0000-0000-0000A9730000}"/>
    <cellStyle name="Warning Text 15" xfId="29086" xr:uid="{00000000-0005-0000-0000-0000AA730000}"/>
    <cellStyle name="Warning Text 15 2" xfId="29087" xr:uid="{00000000-0005-0000-0000-0000AB730000}"/>
    <cellStyle name="Warning Text 15 3" xfId="29088" xr:uid="{00000000-0005-0000-0000-0000AC730000}"/>
    <cellStyle name="Warning Text 15 4" xfId="29089" xr:uid="{00000000-0005-0000-0000-0000AD730000}"/>
    <cellStyle name="Warning Text 15 5" xfId="29090" xr:uid="{00000000-0005-0000-0000-0000AE730000}"/>
    <cellStyle name="Warning Text 15 6" xfId="29091" xr:uid="{00000000-0005-0000-0000-0000AF730000}"/>
    <cellStyle name="Warning Text 15 7" xfId="29092" xr:uid="{00000000-0005-0000-0000-0000B0730000}"/>
    <cellStyle name="Warning Text 15 8" xfId="29093" xr:uid="{00000000-0005-0000-0000-0000B1730000}"/>
    <cellStyle name="Warning Text 15 9" xfId="29094" xr:uid="{00000000-0005-0000-0000-0000B2730000}"/>
    <cellStyle name="Warning Text 16" xfId="29095" xr:uid="{00000000-0005-0000-0000-0000B3730000}"/>
    <cellStyle name="Warning Text 16 2" xfId="29096" xr:uid="{00000000-0005-0000-0000-0000B4730000}"/>
    <cellStyle name="Warning Text 16 3" xfId="29097" xr:uid="{00000000-0005-0000-0000-0000B5730000}"/>
    <cellStyle name="Warning Text 16 4" xfId="29098" xr:uid="{00000000-0005-0000-0000-0000B6730000}"/>
    <cellStyle name="Warning Text 16 5" xfId="29099" xr:uid="{00000000-0005-0000-0000-0000B7730000}"/>
    <cellStyle name="Warning Text 16 6" xfId="29100" xr:uid="{00000000-0005-0000-0000-0000B8730000}"/>
    <cellStyle name="Warning Text 16 7" xfId="29101" xr:uid="{00000000-0005-0000-0000-0000B9730000}"/>
    <cellStyle name="Warning Text 16 8" xfId="29102" xr:uid="{00000000-0005-0000-0000-0000BA730000}"/>
    <cellStyle name="Warning Text 16 9" xfId="29103" xr:uid="{00000000-0005-0000-0000-0000BB730000}"/>
    <cellStyle name="Warning Text 17" xfId="29104" xr:uid="{00000000-0005-0000-0000-0000BC730000}"/>
    <cellStyle name="Warning Text 17 2" xfId="29105" xr:uid="{00000000-0005-0000-0000-0000BD730000}"/>
    <cellStyle name="Warning Text 17 3" xfId="29106" xr:uid="{00000000-0005-0000-0000-0000BE730000}"/>
    <cellStyle name="Warning Text 17 4" xfId="29107" xr:uid="{00000000-0005-0000-0000-0000BF730000}"/>
    <cellStyle name="Warning Text 17 5" xfId="29108" xr:uid="{00000000-0005-0000-0000-0000C0730000}"/>
    <cellStyle name="Warning Text 17 6" xfId="29109" xr:uid="{00000000-0005-0000-0000-0000C1730000}"/>
    <cellStyle name="Warning Text 17 7" xfId="29110" xr:uid="{00000000-0005-0000-0000-0000C2730000}"/>
    <cellStyle name="Warning Text 17 8" xfId="29111" xr:uid="{00000000-0005-0000-0000-0000C3730000}"/>
    <cellStyle name="Warning Text 17 9" xfId="29112" xr:uid="{00000000-0005-0000-0000-0000C4730000}"/>
    <cellStyle name="Warning Text 18" xfId="29113" xr:uid="{00000000-0005-0000-0000-0000C5730000}"/>
    <cellStyle name="Warning Text 18 2" xfId="29114" xr:uid="{00000000-0005-0000-0000-0000C6730000}"/>
    <cellStyle name="Warning Text 18 3" xfId="29115" xr:uid="{00000000-0005-0000-0000-0000C7730000}"/>
    <cellStyle name="Warning Text 18 4" xfId="29116" xr:uid="{00000000-0005-0000-0000-0000C8730000}"/>
    <cellStyle name="Warning Text 18 5" xfId="29117" xr:uid="{00000000-0005-0000-0000-0000C9730000}"/>
    <cellStyle name="Warning Text 18 6" xfId="29118" xr:uid="{00000000-0005-0000-0000-0000CA730000}"/>
    <cellStyle name="Warning Text 18 7" xfId="29119" xr:uid="{00000000-0005-0000-0000-0000CB730000}"/>
    <cellStyle name="Warning Text 18 8" xfId="29120" xr:uid="{00000000-0005-0000-0000-0000CC730000}"/>
    <cellStyle name="Warning Text 18 9" xfId="29121" xr:uid="{00000000-0005-0000-0000-0000CD730000}"/>
    <cellStyle name="Warning Text 19" xfId="29122" xr:uid="{00000000-0005-0000-0000-0000CE730000}"/>
    <cellStyle name="Warning Text 19 2" xfId="29123" xr:uid="{00000000-0005-0000-0000-0000CF730000}"/>
    <cellStyle name="Warning Text 19 3" xfId="29124" xr:uid="{00000000-0005-0000-0000-0000D0730000}"/>
    <cellStyle name="Warning Text 19 4" xfId="29125" xr:uid="{00000000-0005-0000-0000-0000D1730000}"/>
    <cellStyle name="Warning Text 19 5" xfId="29126" xr:uid="{00000000-0005-0000-0000-0000D2730000}"/>
    <cellStyle name="Warning Text 19 6" xfId="29127" xr:uid="{00000000-0005-0000-0000-0000D3730000}"/>
    <cellStyle name="Warning Text 19 7" xfId="29128" xr:uid="{00000000-0005-0000-0000-0000D4730000}"/>
    <cellStyle name="Warning Text 19 8" xfId="29129" xr:uid="{00000000-0005-0000-0000-0000D5730000}"/>
    <cellStyle name="Warning Text 19 9" xfId="29130" xr:uid="{00000000-0005-0000-0000-0000D6730000}"/>
    <cellStyle name="Warning Text 2" xfId="29131" xr:uid="{00000000-0005-0000-0000-0000D7730000}"/>
    <cellStyle name="Warning Text 2 2" xfId="29132" xr:uid="{00000000-0005-0000-0000-0000D8730000}"/>
    <cellStyle name="Warning Text 2 2 2" xfId="29133" xr:uid="{00000000-0005-0000-0000-0000D9730000}"/>
    <cellStyle name="Warning Text 2 2 2 2" xfId="29134" xr:uid="{00000000-0005-0000-0000-0000DA730000}"/>
    <cellStyle name="Warning Text 2 2 2 3" xfId="29135" xr:uid="{00000000-0005-0000-0000-0000DB730000}"/>
    <cellStyle name="Warning Text 2 2 2 4" xfId="29136" xr:uid="{00000000-0005-0000-0000-0000DC730000}"/>
    <cellStyle name="Warning Text 2 2 2 5" xfId="29137" xr:uid="{00000000-0005-0000-0000-0000DD730000}"/>
    <cellStyle name="Warning Text 2 2 2 6" xfId="29138" xr:uid="{00000000-0005-0000-0000-0000DE730000}"/>
    <cellStyle name="Warning Text 2 2 2 7" xfId="29139" xr:uid="{00000000-0005-0000-0000-0000DF730000}"/>
    <cellStyle name="Warning Text 2 2 3" xfId="29140" xr:uid="{00000000-0005-0000-0000-0000E0730000}"/>
    <cellStyle name="Warning Text 2 2 4" xfId="29141" xr:uid="{00000000-0005-0000-0000-0000E1730000}"/>
    <cellStyle name="Warning Text 2 2 5" xfId="29142" xr:uid="{00000000-0005-0000-0000-0000E2730000}"/>
    <cellStyle name="Warning Text 2 2 6" xfId="29143" xr:uid="{00000000-0005-0000-0000-0000E3730000}"/>
    <cellStyle name="Warning Text 2 2 7" xfId="29144" xr:uid="{00000000-0005-0000-0000-0000E4730000}"/>
    <cellStyle name="Warning Text 2 3" xfId="29145" xr:uid="{00000000-0005-0000-0000-0000E5730000}"/>
    <cellStyle name="Warning Text 2 3 2" xfId="29146" xr:uid="{00000000-0005-0000-0000-0000E6730000}"/>
    <cellStyle name="Warning Text 2 3 2 2" xfId="29147" xr:uid="{00000000-0005-0000-0000-0000E7730000}"/>
    <cellStyle name="Warning Text 2 3 2 3" xfId="29148" xr:uid="{00000000-0005-0000-0000-0000E8730000}"/>
    <cellStyle name="Warning Text 2 3 2 4" xfId="29149" xr:uid="{00000000-0005-0000-0000-0000E9730000}"/>
    <cellStyle name="Warning Text 2 3 2 5" xfId="29150" xr:uid="{00000000-0005-0000-0000-0000EA730000}"/>
    <cellStyle name="Warning Text 2 3 2 6" xfId="29151" xr:uid="{00000000-0005-0000-0000-0000EB730000}"/>
    <cellStyle name="Warning Text 2 3 2 7" xfId="29152" xr:uid="{00000000-0005-0000-0000-0000EC730000}"/>
    <cellStyle name="Warning Text 2 3 3" xfId="29153" xr:uid="{00000000-0005-0000-0000-0000ED730000}"/>
    <cellStyle name="Warning Text 2 3 4" xfId="29154" xr:uid="{00000000-0005-0000-0000-0000EE730000}"/>
    <cellStyle name="Warning Text 2 3 5" xfId="29155" xr:uid="{00000000-0005-0000-0000-0000EF730000}"/>
    <cellStyle name="Warning Text 2 3 6" xfId="29156" xr:uid="{00000000-0005-0000-0000-0000F0730000}"/>
    <cellStyle name="Warning Text 2 3 7" xfId="29157" xr:uid="{00000000-0005-0000-0000-0000F1730000}"/>
    <cellStyle name="Warning Text 2 4" xfId="29158" xr:uid="{00000000-0005-0000-0000-0000F2730000}"/>
    <cellStyle name="Warning Text 2 4 2" xfId="29159" xr:uid="{00000000-0005-0000-0000-0000F3730000}"/>
    <cellStyle name="Warning Text 2 4 2 2" xfId="29160" xr:uid="{00000000-0005-0000-0000-0000F4730000}"/>
    <cellStyle name="Warning Text 2 4 2 3" xfId="29161" xr:uid="{00000000-0005-0000-0000-0000F5730000}"/>
    <cellStyle name="Warning Text 2 4 2 4" xfId="29162" xr:uid="{00000000-0005-0000-0000-0000F6730000}"/>
    <cellStyle name="Warning Text 2 4 2 5" xfId="29163" xr:uid="{00000000-0005-0000-0000-0000F7730000}"/>
    <cellStyle name="Warning Text 2 4 2 6" xfId="29164" xr:uid="{00000000-0005-0000-0000-0000F8730000}"/>
    <cellStyle name="Warning Text 2 4 2 7" xfId="29165" xr:uid="{00000000-0005-0000-0000-0000F9730000}"/>
    <cellStyle name="Warning Text 2 4 3" xfId="29166" xr:uid="{00000000-0005-0000-0000-0000FA730000}"/>
    <cellStyle name="Warning Text 2 4 4" xfId="29167" xr:uid="{00000000-0005-0000-0000-0000FB730000}"/>
    <cellStyle name="Warning Text 2 4 5" xfId="29168" xr:uid="{00000000-0005-0000-0000-0000FC730000}"/>
    <cellStyle name="Warning Text 2 4 6" xfId="29169" xr:uid="{00000000-0005-0000-0000-0000FD730000}"/>
    <cellStyle name="Warning Text 2 4 7" xfId="29170" xr:uid="{00000000-0005-0000-0000-0000FE730000}"/>
    <cellStyle name="Warning Text 2 5" xfId="29171" xr:uid="{00000000-0005-0000-0000-0000FF730000}"/>
    <cellStyle name="Warning Text 2 5 2" xfId="29172" xr:uid="{00000000-0005-0000-0000-000000740000}"/>
    <cellStyle name="Warning Text 2 5 2 2" xfId="29173" xr:uid="{00000000-0005-0000-0000-000001740000}"/>
    <cellStyle name="Warning Text 2 5 2 3" xfId="29174" xr:uid="{00000000-0005-0000-0000-000002740000}"/>
    <cellStyle name="Warning Text 2 5 2 4" xfId="29175" xr:uid="{00000000-0005-0000-0000-000003740000}"/>
    <cellStyle name="Warning Text 2 5 2 5" xfId="29176" xr:uid="{00000000-0005-0000-0000-000004740000}"/>
    <cellStyle name="Warning Text 2 5 2 6" xfId="29177" xr:uid="{00000000-0005-0000-0000-000005740000}"/>
    <cellStyle name="Warning Text 2 5 2 7" xfId="29178" xr:uid="{00000000-0005-0000-0000-000006740000}"/>
    <cellStyle name="Warning Text 2 5 3" xfId="29179" xr:uid="{00000000-0005-0000-0000-000007740000}"/>
    <cellStyle name="Warning Text 2 5 4" xfId="29180" xr:uid="{00000000-0005-0000-0000-000008740000}"/>
    <cellStyle name="Warning Text 2 5 5" xfId="29181" xr:uid="{00000000-0005-0000-0000-000009740000}"/>
    <cellStyle name="Warning Text 2 5 6" xfId="29182" xr:uid="{00000000-0005-0000-0000-00000A740000}"/>
    <cellStyle name="Warning Text 2 5 7" xfId="29183" xr:uid="{00000000-0005-0000-0000-00000B740000}"/>
    <cellStyle name="Warning Text 2 6" xfId="29184" xr:uid="{00000000-0005-0000-0000-00000C740000}"/>
    <cellStyle name="Warning Text 2 6 2" xfId="29185" xr:uid="{00000000-0005-0000-0000-00000D740000}"/>
    <cellStyle name="Warning Text 2 6 2 2" xfId="29186" xr:uid="{00000000-0005-0000-0000-00000E740000}"/>
    <cellStyle name="Warning Text 2 6 2 3" xfId="29187" xr:uid="{00000000-0005-0000-0000-00000F740000}"/>
    <cellStyle name="Warning Text 2 6 2 4" xfId="29188" xr:uid="{00000000-0005-0000-0000-000010740000}"/>
    <cellStyle name="Warning Text 2 6 2 5" xfId="29189" xr:uid="{00000000-0005-0000-0000-000011740000}"/>
    <cellStyle name="Warning Text 2 6 2 6" xfId="29190" xr:uid="{00000000-0005-0000-0000-000012740000}"/>
    <cellStyle name="Warning Text 2 6 2 7" xfId="29191" xr:uid="{00000000-0005-0000-0000-000013740000}"/>
    <cellStyle name="Warning Text 2 6 3" xfId="29192" xr:uid="{00000000-0005-0000-0000-000014740000}"/>
    <cellStyle name="Warning Text 2 6 4" xfId="29193" xr:uid="{00000000-0005-0000-0000-000015740000}"/>
    <cellStyle name="Warning Text 2 6 5" xfId="29194" xr:uid="{00000000-0005-0000-0000-000016740000}"/>
    <cellStyle name="Warning Text 2 6 6" xfId="29195" xr:uid="{00000000-0005-0000-0000-000017740000}"/>
    <cellStyle name="Warning Text 2 6 7" xfId="29196" xr:uid="{00000000-0005-0000-0000-000018740000}"/>
    <cellStyle name="Warning Text 2 7" xfId="29197" xr:uid="{00000000-0005-0000-0000-000019740000}"/>
    <cellStyle name="Warning Text 2 7 2" xfId="29198" xr:uid="{00000000-0005-0000-0000-00001A740000}"/>
    <cellStyle name="Warning Text 2 7 2 2" xfId="29199" xr:uid="{00000000-0005-0000-0000-00001B740000}"/>
    <cellStyle name="Warning Text 2 7 2 3" xfId="29200" xr:uid="{00000000-0005-0000-0000-00001C740000}"/>
    <cellStyle name="Warning Text 2 7 2 4" xfId="29201" xr:uid="{00000000-0005-0000-0000-00001D740000}"/>
    <cellStyle name="Warning Text 2 7 2 5" xfId="29202" xr:uid="{00000000-0005-0000-0000-00001E740000}"/>
    <cellStyle name="Warning Text 2 7 2 6" xfId="29203" xr:uid="{00000000-0005-0000-0000-00001F740000}"/>
    <cellStyle name="Warning Text 2 7 2 7" xfId="29204" xr:uid="{00000000-0005-0000-0000-000020740000}"/>
    <cellStyle name="Warning Text 2 7 3" xfId="29205" xr:uid="{00000000-0005-0000-0000-000021740000}"/>
    <cellStyle name="Warning Text 2 7 4" xfId="29206" xr:uid="{00000000-0005-0000-0000-000022740000}"/>
    <cellStyle name="Warning Text 2 7 5" xfId="29207" xr:uid="{00000000-0005-0000-0000-000023740000}"/>
    <cellStyle name="Warning Text 2 7 6" xfId="29208" xr:uid="{00000000-0005-0000-0000-000024740000}"/>
    <cellStyle name="Warning Text 2 7 7" xfId="29209" xr:uid="{00000000-0005-0000-0000-000025740000}"/>
    <cellStyle name="Warning Text 2 8" xfId="29210" xr:uid="{00000000-0005-0000-0000-000026740000}"/>
    <cellStyle name="Warning Text 2 8 2" xfId="29211" xr:uid="{00000000-0005-0000-0000-000027740000}"/>
    <cellStyle name="Warning Text 2 8 2 2" xfId="29212" xr:uid="{00000000-0005-0000-0000-000028740000}"/>
    <cellStyle name="Warning Text 2 8 2 3" xfId="29213" xr:uid="{00000000-0005-0000-0000-000029740000}"/>
    <cellStyle name="Warning Text 2 8 2 4" xfId="29214" xr:uid="{00000000-0005-0000-0000-00002A740000}"/>
    <cellStyle name="Warning Text 2 8 2 5" xfId="29215" xr:uid="{00000000-0005-0000-0000-00002B740000}"/>
    <cellStyle name="Warning Text 2 8 2 6" xfId="29216" xr:uid="{00000000-0005-0000-0000-00002C740000}"/>
    <cellStyle name="Warning Text 2 8 2 7" xfId="29217" xr:uid="{00000000-0005-0000-0000-00002D740000}"/>
    <cellStyle name="Warning Text 2 8 3" xfId="29218" xr:uid="{00000000-0005-0000-0000-00002E740000}"/>
    <cellStyle name="Warning Text 2 8 4" xfId="29219" xr:uid="{00000000-0005-0000-0000-00002F740000}"/>
    <cellStyle name="Warning Text 2 8 5" xfId="29220" xr:uid="{00000000-0005-0000-0000-000030740000}"/>
    <cellStyle name="Warning Text 2 8 6" xfId="29221" xr:uid="{00000000-0005-0000-0000-000031740000}"/>
    <cellStyle name="Warning Text 2 8 7" xfId="29222" xr:uid="{00000000-0005-0000-0000-000032740000}"/>
    <cellStyle name="Warning Text 2 9" xfId="29223" xr:uid="{00000000-0005-0000-0000-000033740000}"/>
    <cellStyle name="Warning Text 20" xfId="29224" xr:uid="{00000000-0005-0000-0000-000034740000}"/>
    <cellStyle name="Warning Text 20 2" xfId="29225" xr:uid="{00000000-0005-0000-0000-000035740000}"/>
    <cellStyle name="Warning Text 20 3" xfId="29226" xr:uid="{00000000-0005-0000-0000-000036740000}"/>
    <cellStyle name="Warning Text 20 4" xfId="29227" xr:uid="{00000000-0005-0000-0000-000037740000}"/>
    <cellStyle name="Warning Text 20 5" xfId="29228" xr:uid="{00000000-0005-0000-0000-000038740000}"/>
    <cellStyle name="Warning Text 20 6" xfId="29229" xr:uid="{00000000-0005-0000-0000-000039740000}"/>
    <cellStyle name="Warning Text 20 7" xfId="29230" xr:uid="{00000000-0005-0000-0000-00003A740000}"/>
    <cellStyle name="Warning Text 20 8" xfId="29231" xr:uid="{00000000-0005-0000-0000-00003B740000}"/>
    <cellStyle name="Warning Text 20 9" xfId="29232" xr:uid="{00000000-0005-0000-0000-00003C740000}"/>
    <cellStyle name="Warning Text 21" xfId="29233" xr:uid="{00000000-0005-0000-0000-00003D740000}"/>
    <cellStyle name="Warning Text 21 2" xfId="29234" xr:uid="{00000000-0005-0000-0000-00003E740000}"/>
    <cellStyle name="Warning Text 21 3" xfId="29235" xr:uid="{00000000-0005-0000-0000-00003F740000}"/>
    <cellStyle name="Warning Text 21 4" xfId="29236" xr:uid="{00000000-0005-0000-0000-000040740000}"/>
    <cellStyle name="Warning Text 21 5" xfId="29237" xr:uid="{00000000-0005-0000-0000-000041740000}"/>
    <cellStyle name="Warning Text 21 6" xfId="29238" xr:uid="{00000000-0005-0000-0000-000042740000}"/>
    <cellStyle name="Warning Text 21 7" xfId="29239" xr:uid="{00000000-0005-0000-0000-000043740000}"/>
    <cellStyle name="Warning Text 21 8" xfId="29240" xr:uid="{00000000-0005-0000-0000-000044740000}"/>
    <cellStyle name="Warning Text 21 9" xfId="29241" xr:uid="{00000000-0005-0000-0000-000045740000}"/>
    <cellStyle name="Warning Text 22" xfId="29242" xr:uid="{00000000-0005-0000-0000-000046740000}"/>
    <cellStyle name="Warning Text 22 2" xfId="29243" xr:uid="{00000000-0005-0000-0000-000047740000}"/>
    <cellStyle name="Warning Text 22 3" xfId="29244" xr:uid="{00000000-0005-0000-0000-000048740000}"/>
    <cellStyle name="Warning Text 22 4" xfId="29245" xr:uid="{00000000-0005-0000-0000-000049740000}"/>
    <cellStyle name="Warning Text 22 5" xfId="29246" xr:uid="{00000000-0005-0000-0000-00004A740000}"/>
    <cellStyle name="Warning Text 22 6" xfId="29247" xr:uid="{00000000-0005-0000-0000-00004B740000}"/>
    <cellStyle name="Warning Text 22 7" xfId="29248" xr:uid="{00000000-0005-0000-0000-00004C740000}"/>
    <cellStyle name="Warning Text 22 8" xfId="29249" xr:uid="{00000000-0005-0000-0000-00004D740000}"/>
    <cellStyle name="Warning Text 22 9" xfId="29250" xr:uid="{00000000-0005-0000-0000-00004E740000}"/>
    <cellStyle name="Warning Text 23" xfId="29251" xr:uid="{00000000-0005-0000-0000-00004F740000}"/>
    <cellStyle name="Warning Text 23 10" xfId="29252" xr:uid="{00000000-0005-0000-0000-000050740000}"/>
    <cellStyle name="Warning Text 23 11" xfId="29253" xr:uid="{00000000-0005-0000-0000-000051740000}"/>
    <cellStyle name="Warning Text 23 12" xfId="29254" xr:uid="{00000000-0005-0000-0000-000052740000}"/>
    <cellStyle name="Warning Text 23 13" xfId="29255" xr:uid="{00000000-0005-0000-0000-000053740000}"/>
    <cellStyle name="Warning Text 23 14" xfId="29256" xr:uid="{00000000-0005-0000-0000-000054740000}"/>
    <cellStyle name="Warning Text 23 15" xfId="29257" xr:uid="{00000000-0005-0000-0000-000055740000}"/>
    <cellStyle name="Warning Text 23 2" xfId="29258" xr:uid="{00000000-0005-0000-0000-000056740000}"/>
    <cellStyle name="Warning Text 23 2 2" xfId="29259" xr:uid="{00000000-0005-0000-0000-000057740000}"/>
    <cellStyle name="Warning Text 23 2 3" xfId="29260" xr:uid="{00000000-0005-0000-0000-000058740000}"/>
    <cellStyle name="Warning Text 23 2 4" xfId="29261" xr:uid="{00000000-0005-0000-0000-000059740000}"/>
    <cellStyle name="Warning Text 23 2 5" xfId="29262" xr:uid="{00000000-0005-0000-0000-00005A740000}"/>
    <cellStyle name="Warning Text 23 2 6" xfId="29263" xr:uid="{00000000-0005-0000-0000-00005B740000}"/>
    <cellStyle name="Warning Text 23 2 7" xfId="29264" xr:uid="{00000000-0005-0000-0000-00005C740000}"/>
    <cellStyle name="Warning Text 23 3" xfId="29265" xr:uid="{00000000-0005-0000-0000-00005D740000}"/>
    <cellStyle name="Warning Text 23 4" xfId="29266" xr:uid="{00000000-0005-0000-0000-00005E740000}"/>
    <cellStyle name="Warning Text 23 5" xfId="29267" xr:uid="{00000000-0005-0000-0000-00005F740000}"/>
    <cellStyle name="Warning Text 23 6" xfId="29268" xr:uid="{00000000-0005-0000-0000-000060740000}"/>
    <cellStyle name="Warning Text 23 7" xfId="29269" xr:uid="{00000000-0005-0000-0000-000061740000}"/>
    <cellStyle name="Warning Text 23 8" xfId="29270" xr:uid="{00000000-0005-0000-0000-000062740000}"/>
    <cellStyle name="Warning Text 23 9" xfId="29271" xr:uid="{00000000-0005-0000-0000-000063740000}"/>
    <cellStyle name="Warning Text 24" xfId="29272" xr:uid="{00000000-0005-0000-0000-000064740000}"/>
    <cellStyle name="Warning Text 24 2" xfId="29273" xr:uid="{00000000-0005-0000-0000-000065740000}"/>
    <cellStyle name="Warning Text 24 3" xfId="29274" xr:uid="{00000000-0005-0000-0000-000066740000}"/>
    <cellStyle name="Warning Text 24 4" xfId="29275" xr:uid="{00000000-0005-0000-0000-000067740000}"/>
    <cellStyle name="Warning Text 24 5" xfId="29276" xr:uid="{00000000-0005-0000-0000-000068740000}"/>
    <cellStyle name="Warning Text 24 6" xfId="29277" xr:uid="{00000000-0005-0000-0000-000069740000}"/>
    <cellStyle name="Warning Text 24 7" xfId="29278" xr:uid="{00000000-0005-0000-0000-00006A740000}"/>
    <cellStyle name="Warning Text 24 8" xfId="29279" xr:uid="{00000000-0005-0000-0000-00006B740000}"/>
    <cellStyle name="Warning Text 24 9" xfId="29280" xr:uid="{00000000-0005-0000-0000-00006C740000}"/>
    <cellStyle name="Warning Text 25" xfId="29281" xr:uid="{00000000-0005-0000-0000-00006D740000}"/>
    <cellStyle name="Warning Text 25 2" xfId="29282" xr:uid="{00000000-0005-0000-0000-00006E740000}"/>
    <cellStyle name="Warning Text 25 3" xfId="29283" xr:uid="{00000000-0005-0000-0000-00006F740000}"/>
    <cellStyle name="Warning Text 25 4" xfId="29284" xr:uid="{00000000-0005-0000-0000-000070740000}"/>
    <cellStyle name="Warning Text 25 5" xfId="29285" xr:uid="{00000000-0005-0000-0000-000071740000}"/>
    <cellStyle name="Warning Text 25 6" xfId="29286" xr:uid="{00000000-0005-0000-0000-000072740000}"/>
    <cellStyle name="Warning Text 25 7" xfId="29287" xr:uid="{00000000-0005-0000-0000-000073740000}"/>
    <cellStyle name="Warning Text 25 8" xfId="29288" xr:uid="{00000000-0005-0000-0000-000074740000}"/>
    <cellStyle name="Warning Text 25 9" xfId="29289" xr:uid="{00000000-0005-0000-0000-000075740000}"/>
    <cellStyle name="Warning Text 26" xfId="29290" xr:uid="{00000000-0005-0000-0000-000076740000}"/>
    <cellStyle name="Warning Text 26 2" xfId="29291" xr:uid="{00000000-0005-0000-0000-000077740000}"/>
    <cellStyle name="Warning Text 26 3" xfId="29292" xr:uid="{00000000-0005-0000-0000-000078740000}"/>
    <cellStyle name="Warning Text 26 4" xfId="29293" xr:uid="{00000000-0005-0000-0000-000079740000}"/>
    <cellStyle name="Warning Text 26 5" xfId="29294" xr:uid="{00000000-0005-0000-0000-00007A740000}"/>
    <cellStyle name="Warning Text 26 6" xfId="29295" xr:uid="{00000000-0005-0000-0000-00007B740000}"/>
    <cellStyle name="Warning Text 26 7" xfId="29296" xr:uid="{00000000-0005-0000-0000-00007C740000}"/>
    <cellStyle name="Warning Text 26 8" xfId="29297" xr:uid="{00000000-0005-0000-0000-00007D740000}"/>
    <cellStyle name="Warning Text 26 9" xfId="29298" xr:uid="{00000000-0005-0000-0000-00007E740000}"/>
    <cellStyle name="Warning Text 27" xfId="29299" xr:uid="{00000000-0005-0000-0000-00007F740000}"/>
    <cellStyle name="Warning Text 27 2" xfId="29300" xr:uid="{00000000-0005-0000-0000-000080740000}"/>
    <cellStyle name="Warning Text 27 3" xfId="29301" xr:uid="{00000000-0005-0000-0000-000081740000}"/>
    <cellStyle name="Warning Text 27 4" xfId="29302" xr:uid="{00000000-0005-0000-0000-000082740000}"/>
    <cellStyle name="Warning Text 27 5" xfId="29303" xr:uid="{00000000-0005-0000-0000-000083740000}"/>
    <cellStyle name="Warning Text 27 6" xfId="29304" xr:uid="{00000000-0005-0000-0000-000084740000}"/>
    <cellStyle name="Warning Text 27 7" xfId="29305" xr:uid="{00000000-0005-0000-0000-000085740000}"/>
    <cellStyle name="Warning Text 27 8" xfId="29306" xr:uid="{00000000-0005-0000-0000-000086740000}"/>
    <cellStyle name="Warning Text 27 9" xfId="29307" xr:uid="{00000000-0005-0000-0000-000087740000}"/>
    <cellStyle name="Warning Text 28" xfId="29308" xr:uid="{00000000-0005-0000-0000-000088740000}"/>
    <cellStyle name="Warning Text 28 2" xfId="29309" xr:uid="{00000000-0005-0000-0000-000089740000}"/>
    <cellStyle name="Warning Text 28 3" xfId="29310" xr:uid="{00000000-0005-0000-0000-00008A740000}"/>
    <cellStyle name="Warning Text 28 4" xfId="29311" xr:uid="{00000000-0005-0000-0000-00008B740000}"/>
    <cellStyle name="Warning Text 28 5" xfId="29312" xr:uid="{00000000-0005-0000-0000-00008C740000}"/>
    <cellStyle name="Warning Text 28 6" xfId="29313" xr:uid="{00000000-0005-0000-0000-00008D740000}"/>
    <cellStyle name="Warning Text 28 7" xfId="29314" xr:uid="{00000000-0005-0000-0000-00008E740000}"/>
    <cellStyle name="Warning Text 28 8" xfId="29315" xr:uid="{00000000-0005-0000-0000-00008F740000}"/>
    <cellStyle name="Warning Text 28 9" xfId="29316" xr:uid="{00000000-0005-0000-0000-000090740000}"/>
    <cellStyle name="Warning Text 29" xfId="29317" xr:uid="{00000000-0005-0000-0000-000091740000}"/>
    <cellStyle name="Warning Text 29 2" xfId="29318" xr:uid="{00000000-0005-0000-0000-000092740000}"/>
    <cellStyle name="Warning Text 29 3" xfId="29319" xr:uid="{00000000-0005-0000-0000-000093740000}"/>
    <cellStyle name="Warning Text 29 4" xfId="29320" xr:uid="{00000000-0005-0000-0000-000094740000}"/>
    <cellStyle name="Warning Text 29 5" xfId="29321" xr:uid="{00000000-0005-0000-0000-000095740000}"/>
    <cellStyle name="Warning Text 29 6" xfId="29322" xr:uid="{00000000-0005-0000-0000-000096740000}"/>
    <cellStyle name="Warning Text 29 7" xfId="29323" xr:uid="{00000000-0005-0000-0000-000097740000}"/>
    <cellStyle name="Warning Text 29 8" xfId="29324" xr:uid="{00000000-0005-0000-0000-000098740000}"/>
    <cellStyle name="Warning Text 29 9" xfId="29325" xr:uid="{00000000-0005-0000-0000-000099740000}"/>
    <cellStyle name="Warning Text 3" xfId="29326" xr:uid="{00000000-0005-0000-0000-00009A740000}"/>
    <cellStyle name="Warning Text 3 2" xfId="29327" xr:uid="{00000000-0005-0000-0000-00009B740000}"/>
    <cellStyle name="Warning Text 3 2 2" xfId="29328" xr:uid="{00000000-0005-0000-0000-00009C740000}"/>
    <cellStyle name="Warning Text 3 2 2 2" xfId="29329" xr:uid="{00000000-0005-0000-0000-00009D740000}"/>
    <cellStyle name="Warning Text 3 2 2 3" xfId="29330" xr:uid="{00000000-0005-0000-0000-00009E740000}"/>
    <cellStyle name="Warning Text 3 2 2 4" xfId="29331" xr:uid="{00000000-0005-0000-0000-00009F740000}"/>
    <cellStyle name="Warning Text 3 2 2 5" xfId="29332" xr:uid="{00000000-0005-0000-0000-0000A0740000}"/>
    <cellStyle name="Warning Text 3 2 2 6" xfId="29333" xr:uid="{00000000-0005-0000-0000-0000A1740000}"/>
    <cellStyle name="Warning Text 3 2 2 7" xfId="29334" xr:uid="{00000000-0005-0000-0000-0000A2740000}"/>
    <cellStyle name="Warning Text 3 2 3" xfId="29335" xr:uid="{00000000-0005-0000-0000-0000A3740000}"/>
    <cellStyle name="Warning Text 3 2 4" xfId="29336" xr:uid="{00000000-0005-0000-0000-0000A4740000}"/>
    <cellStyle name="Warning Text 3 2 5" xfId="29337" xr:uid="{00000000-0005-0000-0000-0000A5740000}"/>
    <cellStyle name="Warning Text 3 2 6" xfId="29338" xr:uid="{00000000-0005-0000-0000-0000A6740000}"/>
    <cellStyle name="Warning Text 3 2 7" xfId="29339" xr:uid="{00000000-0005-0000-0000-0000A7740000}"/>
    <cellStyle name="Warning Text 3 3" xfId="29340" xr:uid="{00000000-0005-0000-0000-0000A8740000}"/>
    <cellStyle name="Warning Text 3 3 2" xfId="29341" xr:uid="{00000000-0005-0000-0000-0000A9740000}"/>
    <cellStyle name="Warning Text 3 3 2 2" xfId="29342" xr:uid="{00000000-0005-0000-0000-0000AA740000}"/>
    <cellStyle name="Warning Text 3 3 2 3" xfId="29343" xr:uid="{00000000-0005-0000-0000-0000AB740000}"/>
    <cellStyle name="Warning Text 3 3 2 4" xfId="29344" xr:uid="{00000000-0005-0000-0000-0000AC740000}"/>
    <cellStyle name="Warning Text 3 3 2 5" xfId="29345" xr:uid="{00000000-0005-0000-0000-0000AD740000}"/>
    <cellStyle name="Warning Text 3 3 2 6" xfId="29346" xr:uid="{00000000-0005-0000-0000-0000AE740000}"/>
    <cellStyle name="Warning Text 3 3 2 7" xfId="29347" xr:uid="{00000000-0005-0000-0000-0000AF740000}"/>
    <cellStyle name="Warning Text 3 3 3" xfId="29348" xr:uid="{00000000-0005-0000-0000-0000B0740000}"/>
    <cellStyle name="Warning Text 3 3 4" xfId="29349" xr:uid="{00000000-0005-0000-0000-0000B1740000}"/>
    <cellStyle name="Warning Text 3 3 5" xfId="29350" xr:uid="{00000000-0005-0000-0000-0000B2740000}"/>
    <cellStyle name="Warning Text 3 3 6" xfId="29351" xr:uid="{00000000-0005-0000-0000-0000B3740000}"/>
    <cellStyle name="Warning Text 3 3 7" xfId="29352" xr:uid="{00000000-0005-0000-0000-0000B4740000}"/>
    <cellStyle name="Warning Text 3 4" xfId="29353" xr:uid="{00000000-0005-0000-0000-0000B5740000}"/>
    <cellStyle name="Warning Text 3 4 2" xfId="29354" xr:uid="{00000000-0005-0000-0000-0000B6740000}"/>
    <cellStyle name="Warning Text 3 4 2 2" xfId="29355" xr:uid="{00000000-0005-0000-0000-0000B7740000}"/>
    <cellStyle name="Warning Text 3 4 2 3" xfId="29356" xr:uid="{00000000-0005-0000-0000-0000B8740000}"/>
    <cellStyle name="Warning Text 3 4 2 4" xfId="29357" xr:uid="{00000000-0005-0000-0000-0000B9740000}"/>
    <cellStyle name="Warning Text 3 4 2 5" xfId="29358" xr:uid="{00000000-0005-0000-0000-0000BA740000}"/>
    <cellStyle name="Warning Text 3 4 2 6" xfId="29359" xr:uid="{00000000-0005-0000-0000-0000BB740000}"/>
    <cellStyle name="Warning Text 3 4 2 7" xfId="29360" xr:uid="{00000000-0005-0000-0000-0000BC740000}"/>
    <cellStyle name="Warning Text 3 4 3" xfId="29361" xr:uid="{00000000-0005-0000-0000-0000BD740000}"/>
    <cellStyle name="Warning Text 3 4 4" xfId="29362" xr:uid="{00000000-0005-0000-0000-0000BE740000}"/>
    <cellStyle name="Warning Text 3 4 5" xfId="29363" xr:uid="{00000000-0005-0000-0000-0000BF740000}"/>
    <cellStyle name="Warning Text 3 4 6" xfId="29364" xr:uid="{00000000-0005-0000-0000-0000C0740000}"/>
    <cellStyle name="Warning Text 3 4 7" xfId="29365" xr:uid="{00000000-0005-0000-0000-0000C1740000}"/>
    <cellStyle name="Warning Text 3 5" xfId="29366" xr:uid="{00000000-0005-0000-0000-0000C2740000}"/>
    <cellStyle name="Warning Text 3 5 2" xfId="29367" xr:uid="{00000000-0005-0000-0000-0000C3740000}"/>
    <cellStyle name="Warning Text 3 5 2 2" xfId="29368" xr:uid="{00000000-0005-0000-0000-0000C4740000}"/>
    <cellStyle name="Warning Text 3 5 2 3" xfId="29369" xr:uid="{00000000-0005-0000-0000-0000C5740000}"/>
    <cellStyle name="Warning Text 3 5 2 4" xfId="29370" xr:uid="{00000000-0005-0000-0000-0000C6740000}"/>
    <cellStyle name="Warning Text 3 5 2 5" xfId="29371" xr:uid="{00000000-0005-0000-0000-0000C7740000}"/>
    <cellStyle name="Warning Text 3 5 2 6" xfId="29372" xr:uid="{00000000-0005-0000-0000-0000C8740000}"/>
    <cellStyle name="Warning Text 3 5 2 7" xfId="29373" xr:uid="{00000000-0005-0000-0000-0000C9740000}"/>
    <cellStyle name="Warning Text 3 5 3" xfId="29374" xr:uid="{00000000-0005-0000-0000-0000CA740000}"/>
    <cellStyle name="Warning Text 3 5 4" xfId="29375" xr:uid="{00000000-0005-0000-0000-0000CB740000}"/>
    <cellStyle name="Warning Text 3 5 5" xfId="29376" xr:uid="{00000000-0005-0000-0000-0000CC740000}"/>
    <cellStyle name="Warning Text 3 5 6" xfId="29377" xr:uid="{00000000-0005-0000-0000-0000CD740000}"/>
    <cellStyle name="Warning Text 3 5 7" xfId="29378" xr:uid="{00000000-0005-0000-0000-0000CE740000}"/>
    <cellStyle name="Warning Text 3 6" xfId="29379" xr:uid="{00000000-0005-0000-0000-0000CF740000}"/>
    <cellStyle name="Warning Text 3 6 2" xfId="29380" xr:uid="{00000000-0005-0000-0000-0000D0740000}"/>
    <cellStyle name="Warning Text 3 6 2 2" xfId="29381" xr:uid="{00000000-0005-0000-0000-0000D1740000}"/>
    <cellStyle name="Warning Text 3 6 2 3" xfId="29382" xr:uid="{00000000-0005-0000-0000-0000D2740000}"/>
    <cellStyle name="Warning Text 3 6 2 4" xfId="29383" xr:uid="{00000000-0005-0000-0000-0000D3740000}"/>
    <cellStyle name="Warning Text 3 6 2 5" xfId="29384" xr:uid="{00000000-0005-0000-0000-0000D4740000}"/>
    <cellStyle name="Warning Text 3 6 2 6" xfId="29385" xr:uid="{00000000-0005-0000-0000-0000D5740000}"/>
    <cellStyle name="Warning Text 3 6 2 7" xfId="29386" xr:uid="{00000000-0005-0000-0000-0000D6740000}"/>
    <cellStyle name="Warning Text 3 6 3" xfId="29387" xr:uid="{00000000-0005-0000-0000-0000D7740000}"/>
    <cellStyle name="Warning Text 3 6 4" xfId="29388" xr:uid="{00000000-0005-0000-0000-0000D8740000}"/>
    <cellStyle name="Warning Text 3 6 5" xfId="29389" xr:uid="{00000000-0005-0000-0000-0000D9740000}"/>
    <cellStyle name="Warning Text 3 6 6" xfId="29390" xr:uid="{00000000-0005-0000-0000-0000DA740000}"/>
    <cellStyle name="Warning Text 3 6 7" xfId="29391" xr:uid="{00000000-0005-0000-0000-0000DB740000}"/>
    <cellStyle name="Warning Text 3 7" xfId="29392" xr:uid="{00000000-0005-0000-0000-0000DC740000}"/>
    <cellStyle name="Warning Text 3 7 2" xfId="29393" xr:uid="{00000000-0005-0000-0000-0000DD740000}"/>
    <cellStyle name="Warning Text 3 7 2 2" xfId="29394" xr:uid="{00000000-0005-0000-0000-0000DE740000}"/>
    <cellStyle name="Warning Text 3 7 2 3" xfId="29395" xr:uid="{00000000-0005-0000-0000-0000DF740000}"/>
    <cellStyle name="Warning Text 3 7 2 4" xfId="29396" xr:uid="{00000000-0005-0000-0000-0000E0740000}"/>
    <cellStyle name="Warning Text 3 7 2 5" xfId="29397" xr:uid="{00000000-0005-0000-0000-0000E1740000}"/>
    <cellStyle name="Warning Text 3 7 2 6" xfId="29398" xr:uid="{00000000-0005-0000-0000-0000E2740000}"/>
    <cellStyle name="Warning Text 3 7 2 7" xfId="29399" xr:uid="{00000000-0005-0000-0000-0000E3740000}"/>
    <cellStyle name="Warning Text 3 7 3" xfId="29400" xr:uid="{00000000-0005-0000-0000-0000E4740000}"/>
    <cellStyle name="Warning Text 3 7 4" xfId="29401" xr:uid="{00000000-0005-0000-0000-0000E5740000}"/>
    <cellStyle name="Warning Text 3 7 5" xfId="29402" xr:uid="{00000000-0005-0000-0000-0000E6740000}"/>
    <cellStyle name="Warning Text 3 7 6" xfId="29403" xr:uid="{00000000-0005-0000-0000-0000E7740000}"/>
    <cellStyle name="Warning Text 3 7 7" xfId="29404" xr:uid="{00000000-0005-0000-0000-0000E8740000}"/>
    <cellStyle name="Warning Text 3 8" xfId="29405" xr:uid="{00000000-0005-0000-0000-0000E9740000}"/>
    <cellStyle name="Warning Text 3 8 2" xfId="29406" xr:uid="{00000000-0005-0000-0000-0000EA740000}"/>
    <cellStyle name="Warning Text 3 8 2 2" xfId="29407" xr:uid="{00000000-0005-0000-0000-0000EB740000}"/>
    <cellStyle name="Warning Text 3 8 2 3" xfId="29408" xr:uid="{00000000-0005-0000-0000-0000EC740000}"/>
    <cellStyle name="Warning Text 3 8 2 4" xfId="29409" xr:uid="{00000000-0005-0000-0000-0000ED740000}"/>
    <cellStyle name="Warning Text 3 8 2 5" xfId="29410" xr:uid="{00000000-0005-0000-0000-0000EE740000}"/>
    <cellStyle name="Warning Text 3 8 2 6" xfId="29411" xr:uid="{00000000-0005-0000-0000-0000EF740000}"/>
    <cellStyle name="Warning Text 3 8 2 7" xfId="29412" xr:uid="{00000000-0005-0000-0000-0000F0740000}"/>
    <cellStyle name="Warning Text 3 8 3" xfId="29413" xr:uid="{00000000-0005-0000-0000-0000F1740000}"/>
    <cellStyle name="Warning Text 3 8 4" xfId="29414" xr:uid="{00000000-0005-0000-0000-0000F2740000}"/>
    <cellStyle name="Warning Text 3 8 5" xfId="29415" xr:uid="{00000000-0005-0000-0000-0000F3740000}"/>
    <cellStyle name="Warning Text 3 8 6" xfId="29416" xr:uid="{00000000-0005-0000-0000-0000F4740000}"/>
    <cellStyle name="Warning Text 3 8 7" xfId="29417" xr:uid="{00000000-0005-0000-0000-0000F5740000}"/>
    <cellStyle name="Warning Text 3 9" xfId="29418" xr:uid="{00000000-0005-0000-0000-0000F6740000}"/>
    <cellStyle name="Warning Text 30" xfId="29419" xr:uid="{00000000-0005-0000-0000-0000F7740000}"/>
    <cellStyle name="Warning Text 30 2" xfId="29420" xr:uid="{00000000-0005-0000-0000-0000F8740000}"/>
    <cellStyle name="Warning Text 30 3" xfId="29421" xr:uid="{00000000-0005-0000-0000-0000F9740000}"/>
    <cellStyle name="Warning Text 30 4" xfId="29422" xr:uid="{00000000-0005-0000-0000-0000FA740000}"/>
    <cellStyle name="Warning Text 30 5" xfId="29423" xr:uid="{00000000-0005-0000-0000-0000FB740000}"/>
    <cellStyle name="Warning Text 30 6" xfId="29424" xr:uid="{00000000-0005-0000-0000-0000FC740000}"/>
    <cellStyle name="Warning Text 30 7" xfId="29425" xr:uid="{00000000-0005-0000-0000-0000FD740000}"/>
    <cellStyle name="Warning Text 30 8" xfId="29426" xr:uid="{00000000-0005-0000-0000-0000FE740000}"/>
    <cellStyle name="Warning Text 30 9" xfId="29427" xr:uid="{00000000-0005-0000-0000-0000FF740000}"/>
    <cellStyle name="Warning Text 31" xfId="29428" xr:uid="{00000000-0005-0000-0000-000000750000}"/>
    <cellStyle name="Warning Text 31 2" xfId="29429" xr:uid="{00000000-0005-0000-0000-000001750000}"/>
    <cellStyle name="Warning Text 31 3" xfId="29430" xr:uid="{00000000-0005-0000-0000-000002750000}"/>
    <cellStyle name="Warning Text 31 4" xfId="29431" xr:uid="{00000000-0005-0000-0000-000003750000}"/>
    <cellStyle name="Warning Text 31 5" xfId="29432" xr:uid="{00000000-0005-0000-0000-000004750000}"/>
    <cellStyle name="Warning Text 31 6" xfId="29433" xr:uid="{00000000-0005-0000-0000-000005750000}"/>
    <cellStyle name="Warning Text 31 7" xfId="29434" xr:uid="{00000000-0005-0000-0000-000006750000}"/>
    <cellStyle name="Warning Text 31 8" xfId="29435" xr:uid="{00000000-0005-0000-0000-000007750000}"/>
    <cellStyle name="Warning Text 31 9" xfId="29436" xr:uid="{00000000-0005-0000-0000-000008750000}"/>
    <cellStyle name="Warning Text 32" xfId="29437" xr:uid="{00000000-0005-0000-0000-000009750000}"/>
    <cellStyle name="Warning Text 32 2" xfId="29438" xr:uid="{00000000-0005-0000-0000-00000A750000}"/>
    <cellStyle name="Warning Text 32 3" xfId="29439" xr:uid="{00000000-0005-0000-0000-00000B750000}"/>
    <cellStyle name="Warning Text 32 4" xfId="29440" xr:uid="{00000000-0005-0000-0000-00000C750000}"/>
    <cellStyle name="Warning Text 32 5" xfId="29441" xr:uid="{00000000-0005-0000-0000-00000D750000}"/>
    <cellStyle name="Warning Text 32 6" xfId="29442" xr:uid="{00000000-0005-0000-0000-00000E750000}"/>
    <cellStyle name="Warning Text 32 7" xfId="29443" xr:uid="{00000000-0005-0000-0000-00000F750000}"/>
    <cellStyle name="Warning Text 32 8" xfId="29444" xr:uid="{00000000-0005-0000-0000-000010750000}"/>
    <cellStyle name="Warning Text 32 9" xfId="29445" xr:uid="{00000000-0005-0000-0000-000011750000}"/>
    <cellStyle name="Warning Text 33" xfId="29446" xr:uid="{00000000-0005-0000-0000-000012750000}"/>
    <cellStyle name="Warning Text 33 2" xfId="29447" xr:uid="{00000000-0005-0000-0000-000013750000}"/>
    <cellStyle name="Warning Text 33 3" xfId="29448" xr:uid="{00000000-0005-0000-0000-000014750000}"/>
    <cellStyle name="Warning Text 33 4" xfId="29449" xr:uid="{00000000-0005-0000-0000-000015750000}"/>
    <cellStyle name="Warning Text 33 5" xfId="29450" xr:uid="{00000000-0005-0000-0000-000016750000}"/>
    <cellStyle name="Warning Text 33 6" xfId="29451" xr:uid="{00000000-0005-0000-0000-000017750000}"/>
    <cellStyle name="Warning Text 33 7" xfId="29452" xr:uid="{00000000-0005-0000-0000-000018750000}"/>
    <cellStyle name="Warning Text 33 8" xfId="29453" xr:uid="{00000000-0005-0000-0000-000019750000}"/>
    <cellStyle name="Warning Text 33 9" xfId="29454" xr:uid="{00000000-0005-0000-0000-00001A750000}"/>
    <cellStyle name="Warning Text 34" xfId="29455" xr:uid="{00000000-0005-0000-0000-00001B750000}"/>
    <cellStyle name="Warning Text 34 2" xfId="29456" xr:uid="{00000000-0005-0000-0000-00001C750000}"/>
    <cellStyle name="Warning Text 34 3" xfId="29457" xr:uid="{00000000-0005-0000-0000-00001D750000}"/>
    <cellStyle name="Warning Text 34 4" xfId="29458" xr:uid="{00000000-0005-0000-0000-00001E750000}"/>
    <cellStyle name="Warning Text 34 5" xfId="29459" xr:uid="{00000000-0005-0000-0000-00001F750000}"/>
    <cellStyle name="Warning Text 34 6" xfId="29460" xr:uid="{00000000-0005-0000-0000-000020750000}"/>
    <cellStyle name="Warning Text 34 7" xfId="29461" xr:uid="{00000000-0005-0000-0000-000021750000}"/>
    <cellStyle name="Warning Text 34 8" xfId="29462" xr:uid="{00000000-0005-0000-0000-000022750000}"/>
    <cellStyle name="Warning Text 34 9" xfId="29463" xr:uid="{00000000-0005-0000-0000-000023750000}"/>
    <cellStyle name="Warning Text 35" xfId="29464" xr:uid="{00000000-0005-0000-0000-000024750000}"/>
    <cellStyle name="Warning Text 35 2" xfId="29465" xr:uid="{00000000-0005-0000-0000-000025750000}"/>
    <cellStyle name="Warning Text 35 3" xfId="29466" xr:uid="{00000000-0005-0000-0000-000026750000}"/>
    <cellStyle name="Warning Text 35 4" xfId="29467" xr:uid="{00000000-0005-0000-0000-000027750000}"/>
    <cellStyle name="Warning Text 35 5" xfId="29468" xr:uid="{00000000-0005-0000-0000-000028750000}"/>
    <cellStyle name="Warning Text 35 6" xfId="29469" xr:uid="{00000000-0005-0000-0000-000029750000}"/>
    <cellStyle name="Warning Text 35 7" xfId="29470" xr:uid="{00000000-0005-0000-0000-00002A750000}"/>
    <cellStyle name="Warning Text 35 8" xfId="29471" xr:uid="{00000000-0005-0000-0000-00002B750000}"/>
    <cellStyle name="Warning Text 35 9" xfId="29472" xr:uid="{00000000-0005-0000-0000-00002C750000}"/>
    <cellStyle name="Warning Text 36" xfId="29473" xr:uid="{00000000-0005-0000-0000-00002D750000}"/>
    <cellStyle name="Warning Text 36 2" xfId="29474" xr:uid="{00000000-0005-0000-0000-00002E750000}"/>
    <cellStyle name="Warning Text 36 3" xfId="29475" xr:uid="{00000000-0005-0000-0000-00002F750000}"/>
    <cellStyle name="Warning Text 36 4" xfId="29476" xr:uid="{00000000-0005-0000-0000-000030750000}"/>
    <cellStyle name="Warning Text 36 5" xfId="29477" xr:uid="{00000000-0005-0000-0000-000031750000}"/>
    <cellStyle name="Warning Text 36 6" xfId="29478" xr:uid="{00000000-0005-0000-0000-000032750000}"/>
    <cellStyle name="Warning Text 36 7" xfId="29479" xr:uid="{00000000-0005-0000-0000-000033750000}"/>
    <cellStyle name="Warning Text 36 8" xfId="29480" xr:uid="{00000000-0005-0000-0000-000034750000}"/>
    <cellStyle name="Warning Text 36 9" xfId="29481" xr:uid="{00000000-0005-0000-0000-000035750000}"/>
    <cellStyle name="Warning Text 37" xfId="29482" xr:uid="{00000000-0005-0000-0000-000036750000}"/>
    <cellStyle name="Warning Text 37 2" xfId="29483" xr:uid="{00000000-0005-0000-0000-000037750000}"/>
    <cellStyle name="Warning Text 37 3" xfId="29484" xr:uid="{00000000-0005-0000-0000-000038750000}"/>
    <cellStyle name="Warning Text 37 4" xfId="29485" xr:uid="{00000000-0005-0000-0000-000039750000}"/>
    <cellStyle name="Warning Text 37 5" xfId="29486" xr:uid="{00000000-0005-0000-0000-00003A750000}"/>
    <cellStyle name="Warning Text 37 6" xfId="29487" xr:uid="{00000000-0005-0000-0000-00003B750000}"/>
    <cellStyle name="Warning Text 37 7" xfId="29488" xr:uid="{00000000-0005-0000-0000-00003C750000}"/>
    <cellStyle name="Warning Text 37 8" xfId="29489" xr:uid="{00000000-0005-0000-0000-00003D750000}"/>
    <cellStyle name="Warning Text 37 9" xfId="29490" xr:uid="{00000000-0005-0000-0000-00003E750000}"/>
    <cellStyle name="Warning Text 38" xfId="29491" xr:uid="{00000000-0005-0000-0000-00003F750000}"/>
    <cellStyle name="Warning Text 38 2" xfId="29492" xr:uid="{00000000-0005-0000-0000-000040750000}"/>
    <cellStyle name="Warning Text 38 3" xfId="29493" xr:uid="{00000000-0005-0000-0000-000041750000}"/>
    <cellStyle name="Warning Text 38 4" xfId="29494" xr:uid="{00000000-0005-0000-0000-000042750000}"/>
    <cellStyle name="Warning Text 38 5" xfId="29495" xr:uid="{00000000-0005-0000-0000-000043750000}"/>
    <cellStyle name="Warning Text 38 6" xfId="29496" xr:uid="{00000000-0005-0000-0000-000044750000}"/>
    <cellStyle name="Warning Text 38 7" xfId="29497" xr:uid="{00000000-0005-0000-0000-000045750000}"/>
    <cellStyle name="Warning Text 38 8" xfId="29498" xr:uid="{00000000-0005-0000-0000-000046750000}"/>
    <cellStyle name="Warning Text 38 9" xfId="29499" xr:uid="{00000000-0005-0000-0000-000047750000}"/>
    <cellStyle name="Warning Text 39" xfId="29500" xr:uid="{00000000-0005-0000-0000-000048750000}"/>
    <cellStyle name="Warning Text 39 2" xfId="29501" xr:uid="{00000000-0005-0000-0000-000049750000}"/>
    <cellStyle name="Warning Text 39 3" xfId="29502" xr:uid="{00000000-0005-0000-0000-00004A750000}"/>
    <cellStyle name="Warning Text 39 4" xfId="29503" xr:uid="{00000000-0005-0000-0000-00004B750000}"/>
    <cellStyle name="Warning Text 39 5" xfId="29504" xr:uid="{00000000-0005-0000-0000-00004C750000}"/>
    <cellStyle name="Warning Text 39 6" xfId="29505" xr:uid="{00000000-0005-0000-0000-00004D750000}"/>
    <cellStyle name="Warning Text 39 7" xfId="29506" xr:uid="{00000000-0005-0000-0000-00004E750000}"/>
    <cellStyle name="Warning Text 39 8" xfId="29507" xr:uid="{00000000-0005-0000-0000-00004F750000}"/>
    <cellStyle name="Warning Text 39 9" xfId="29508" xr:uid="{00000000-0005-0000-0000-000050750000}"/>
    <cellStyle name="Warning Text 4" xfId="29509" xr:uid="{00000000-0005-0000-0000-000051750000}"/>
    <cellStyle name="Warning Text 4 2" xfId="29510" xr:uid="{00000000-0005-0000-0000-000052750000}"/>
    <cellStyle name="Warning Text 4 2 2" xfId="29511" xr:uid="{00000000-0005-0000-0000-000053750000}"/>
    <cellStyle name="Warning Text 4 2 2 2" xfId="29512" xr:uid="{00000000-0005-0000-0000-000054750000}"/>
    <cellStyle name="Warning Text 4 2 2 3" xfId="29513" xr:uid="{00000000-0005-0000-0000-000055750000}"/>
    <cellStyle name="Warning Text 4 2 2 4" xfId="29514" xr:uid="{00000000-0005-0000-0000-000056750000}"/>
    <cellStyle name="Warning Text 4 2 2 5" xfId="29515" xr:uid="{00000000-0005-0000-0000-000057750000}"/>
    <cellStyle name="Warning Text 4 2 2 6" xfId="29516" xr:uid="{00000000-0005-0000-0000-000058750000}"/>
    <cellStyle name="Warning Text 4 2 2 7" xfId="29517" xr:uid="{00000000-0005-0000-0000-000059750000}"/>
    <cellStyle name="Warning Text 4 2 3" xfId="29518" xr:uid="{00000000-0005-0000-0000-00005A750000}"/>
    <cellStyle name="Warning Text 4 2 4" xfId="29519" xr:uid="{00000000-0005-0000-0000-00005B750000}"/>
    <cellStyle name="Warning Text 4 2 5" xfId="29520" xr:uid="{00000000-0005-0000-0000-00005C750000}"/>
    <cellStyle name="Warning Text 4 2 6" xfId="29521" xr:uid="{00000000-0005-0000-0000-00005D750000}"/>
    <cellStyle name="Warning Text 4 2 7" xfId="29522" xr:uid="{00000000-0005-0000-0000-00005E750000}"/>
    <cellStyle name="Warning Text 4 3" xfId="29523" xr:uid="{00000000-0005-0000-0000-00005F750000}"/>
    <cellStyle name="Warning Text 4 3 2" xfId="29524" xr:uid="{00000000-0005-0000-0000-000060750000}"/>
    <cellStyle name="Warning Text 4 3 2 2" xfId="29525" xr:uid="{00000000-0005-0000-0000-000061750000}"/>
    <cellStyle name="Warning Text 4 3 2 3" xfId="29526" xr:uid="{00000000-0005-0000-0000-000062750000}"/>
    <cellStyle name="Warning Text 4 3 2 4" xfId="29527" xr:uid="{00000000-0005-0000-0000-000063750000}"/>
    <cellStyle name="Warning Text 4 3 2 5" xfId="29528" xr:uid="{00000000-0005-0000-0000-000064750000}"/>
    <cellStyle name="Warning Text 4 3 2 6" xfId="29529" xr:uid="{00000000-0005-0000-0000-000065750000}"/>
    <cellStyle name="Warning Text 4 3 2 7" xfId="29530" xr:uid="{00000000-0005-0000-0000-000066750000}"/>
    <cellStyle name="Warning Text 4 3 3" xfId="29531" xr:uid="{00000000-0005-0000-0000-000067750000}"/>
    <cellStyle name="Warning Text 4 3 4" xfId="29532" xr:uid="{00000000-0005-0000-0000-000068750000}"/>
    <cellStyle name="Warning Text 4 3 5" xfId="29533" xr:uid="{00000000-0005-0000-0000-000069750000}"/>
    <cellStyle name="Warning Text 4 3 6" xfId="29534" xr:uid="{00000000-0005-0000-0000-00006A750000}"/>
    <cellStyle name="Warning Text 4 3 7" xfId="29535" xr:uid="{00000000-0005-0000-0000-00006B750000}"/>
    <cellStyle name="Warning Text 4 4" xfId="29536" xr:uid="{00000000-0005-0000-0000-00006C750000}"/>
    <cellStyle name="Warning Text 4 4 2" xfId="29537" xr:uid="{00000000-0005-0000-0000-00006D750000}"/>
    <cellStyle name="Warning Text 4 4 2 2" xfId="29538" xr:uid="{00000000-0005-0000-0000-00006E750000}"/>
    <cellStyle name="Warning Text 4 4 2 3" xfId="29539" xr:uid="{00000000-0005-0000-0000-00006F750000}"/>
    <cellStyle name="Warning Text 4 4 2 4" xfId="29540" xr:uid="{00000000-0005-0000-0000-000070750000}"/>
    <cellStyle name="Warning Text 4 4 2 5" xfId="29541" xr:uid="{00000000-0005-0000-0000-000071750000}"/>
    <cellStyle name="Warning Text 4 4 2 6" xfId="29542" xr:uid="{00000000-0005-0000-0000-000072750000}"/>
    <cellStyle name="Warning Text 4 4 2 7" xfId="29543" xr:uid="{00000000-0005-0000-0000-000073750000}"/>
    <cellStyle name="Warning Text 4 4 3" xfId="29544" xr:uid="{00000000-0005-0000-0000-000074750000}"/>
    <cellStyle name="Warning Text 4 4 4" xfId="29545" xr:uid="{00000000-0005-0000-0000-000075750000}"/>
    <cellStyle name="Warning Text 4 4 5" xfId="29546" xr:uid="{00000000-0005-0000-0000-000076750000}"/>
    <cellStyle name="Warning Text 4 4 6" xfId="29547" xr:uid="{00000000-0005-0000-0000-000077750000}"/>
    <cellStyle name="Warning Text 4 4 7" xfId="29548" xr:uid="{00000000-0005-0000-0000-000078750000}"/>
    <cellStyle name="Warning Text 4 5" xfId="29549" xr:uid="{00000000-0005-0000-0000-000079750000}"/>
    <cellStyle name="Warning Text 4 5 2" xfId="29550" xr:uid="{00000000-0005-0000-0000-00007A750000}"/>
    <cellStyle name="Warning Text 4 5 2 2" xfId="29551" xr:uid="{00000000-0005-0000-0000-00007B750000}"/>
    <cellStyle name="Warning Text 4 5 2 3" xfId="29552" xr:uid="{00000000-0005-0000-0000-00007C750000}"/>
    <cellStyle name="Warning Text 4 5 2 4" xfId="29553" xr:uid="{00000000-0005-0000-0000-00007D750000}"/>
    <cellStyle name="Warning Text 4 5 2 5" xfId="29554" xr:uid="{00000000-0005-0000-0000-00007E750000}"/>
    <cellStyle name="Warning Text 4 5 2 6" xfId="29555" xr:uid="{00000000-0005-0000-0000-00007F750000}"/>
    <cellStyle name="Warning Text 4 5 2 7" xfId="29556" xr:uid="{00000000-0005-0000-0000-000080750000}"/>
    <cellStyle name="Warning Text 4 5 3" xfId="29557" xr:uid="{00000000-0005-0000-0000-000081750000}"/>
    <cellStyle name="Warning Text 4 5 4" xfId="29558" xr:uid="{00000000-0005-0000-0000-000082750000}"/>
    <cellStyle name="Warning Text 4 5 5" xfId="29559" xr:uid="{00000000-0005-0000-0000-000083750000}"/>
    <cellStyle name="Warning Text 4 5 6" xfId="29560" xr:uid="{00000000-0005-0000-0000-000084750000}"/>
    <cellStyle name="Warning Text 4 5 7" xfId="29561" xr:uid="{00000000-0005-0000-0000-000085750000}"/>
    <cellStyle name="Warning Text 4 6" xfId="29562" xr:uid="{00000000-0005-0000-0000-000086750000}"/>
    <cellStyle name="Warning Text 4 6 2" xfId="29563" xr:uid="{00000000-0005-0000-0000-000087750000}"/>
    <cellStyle name="Warning Text 4 6 2 2" xfId="29564" xr:uid="{00000000-0005-0000-0000-000088750000}"/>
    <cellStyle name="Warning Text 4 6 2 3" xfId="29565" xr:uid="{00000000-0005-0000-0000-000089750000}"/>
    <cellStyle name="Warning Text 4 6 2 4" xfId="29566" xr:uid="{00000000-0005-0000-0000-00008A750000}"/>
    <cellStyle name="Warning Text 4 6 2 5" xfId="29567" xr:uid="{00000000-0005-0000-0000-00008B750000}"/>
    <cellStyle name="Warning Text 4 6 2 6" xfId="29568" xr:uid="{00000000-0005-0000-0000-00008C750000}"/>
    <cellStyle name="Warning Text 4 6 2 7" xfId="29569" xr:uid="{00000000-0005-0000-0000-00008D750000}"/>
    <cellStyle name="Warning Text 4 6 3" xfId="29570" xr:uid="{00000000-0005-0000-0000-00008E750000}"/>
    <cellStyle name="Warning Text 4 6 4" xfId="29571" xr:uid="{00000000-0005-0000-0000-00008F750000}"/>
    <cellStyle name="Warning Text 4 6 5" xfId="29572" xr:uid="{00000000-0005-0000-0000-000090750000}"/>
    <cellStyle name="Warning Text 4 6 6" xfId="29573" xr:uid="{00000000-0005-0000-0000-000091750000}"/>
    <cellStyle name="Warning Text 4 6 7" xfId="29574" xr:uid="{00000000-0005-0000-0000-000092750000}"/>
    <cellStyle name="Warning Text 4 7" xfId="29575" xr:uid="{00000000-0005-0000-0000-000093750000}"/>
    <cellStyle name="Warning Text 4 7 2" xfId="29576" xr:uid="{00000000-0005-0000-0000-000094750000}"/>
    <cellStyle name="Warning Text 4 7 2 2" xfId="29577" xr:uid="{00000000-0005-0000-0000-000095750000}"/>
    <cellStyle name="Warning Text 4 7 2 3" xfId="29578" xr:uid="{00000000-0005-0000-0000-000096750000}"/>
    <cellStyle name="Warning Text 4 7 2 4" xfId="29579" xr:uid="{00000000-0005-0000-0000-000097750000}"/>
    <cellStyle name="Warning Text 4 7 2 5" xfId="29580" xr:uid="{00000000-0005-0000-0000-000098750000}"/>
    <cellStyle name="Warning Text 4 7 2 6" xfId="29581" xr:uid="{00000000-0005-0000-0000-000099750000}"/>
    <cellStyle name="Warning Text 4 7 2 7" xfId="29582" xr:uid="{00000000-0005-0000-0000-00009A750000}"/>
    <cellStyle name="Warning Text 4 7 3" xfId="29583" xr:uid="{00000000-0005-0000-0000-00009B750000}"/>
    <cellStyle name="Warning Text 4 7 4" xfId="29584" xr:uid="{00000000-0005-0000-0000-00009C750000}"/>
    <cellStyle name="Warning Text 4 7 5" xfId="29585" xr:uid="{00000000-0005-0000-0000-00009D750000}"/>
    <cellStyle name="Warning Text 4 7 6" xfId="29586" xr:uid="{00000000-0005-0000-0000-00009E750000}"/>
    <cellStyle name="Warning Text 4 7 7" xfId="29587" xr:uid="{00000000-0005-0000-0000-00009F750000}"/>
    <cellStyle name="Warning Text 4 8" xfId="29588" xr:uid="{00000000-0005-0000-0000-0000A0750000}"/>
    <cellStyle name="Warning Text 4 8 2" xfId="29589" xr:uid="{00000000-0005-0000-0000-0000A1750000}"/>
    <cellStyle name="Warning Text 4 8 2 2" xfId="29590" xr:uid="{00000000-0005-0000-0000-0000A2750000}"/>
    <cellStyle name="Warning Text 4 8 2 3" xfId="29591" xr:uid="{00000000-0005-0000-0000-0000A3750000}"/>
    <cellStyle name="Warning Text 4 8 2 4" xfId="29592" xr:uid="{00000000-0005-0000-0000-0000A4750000}"/>
    <cellStyle name="Warning Text 4 8 2 5" xfId="29593" xr:uid="{00000000-0005-0000-0000-0000A5750000}"/>
    <cellStyle name="Warning Text 4 8 2 6" xfId="29594" xr:uid="{00000000-0005-0000-0000-0000A6750000}"/>
    <cellStyle name="Warning Text 4 8 2 7" xfId="29595" xr:uid="{00000000-0005-0000-0000-0000A7750000}"/>
    <cellStyle name="Warning Text 4 8 3" xfId="29596" xr:uid="{00000000-0005-0000-0000-0000A8750000}"/>
    <cellStyle name="Warning Text 4 8 4" xfId="29597" xr:uid="{00000000-0005-0000-0000-0000A9750000}"/>
    <cellStyle name="Warning Text 4 8 5" xfId="29598" xr:uid="{00000000-0005-0000-0000-0000AA750000}"/>
    <cellStyle name="Warning Text 4 8 6" xfId="29599" xr:uid="{00000000-0005-0000-0000-0000AB750000}"/>
    <cellStyle name="Warning Text 4 8 7" xfId="29600" xr:uid="{00000000-0005-0000-0000-0000AC750000}"/>
    <cellStyle name="Warning Text 4 9" xfId="29601" xr:uid="{00000000-0005-0000-0000-0000AD750000}"/>
    <cellStyle name="Warning Text 40" xfId="29602" xr:uid="{00000000-0005-0000-0000-0000AE750000}"/>
    <cellStyle name="Warning Text 40 2" xfId="29603" xr:uid="{00000000-0005-0000-0000-0000AF750000}"/>
    <cellStyle name="Warning Text 40 3" xfId="29604" xr:uid="{00000000-0005-0000-0000-0000B0750000}"/>
    <cellStyle name="Warning Text 40 4" xfId="29605" xr:uid="{00000000-0005-0000-0000-0000B1750000}"/>
    <cellStyle name="Warning Text 40 5" xfId="29606" xr:uid="{00000000-0005-0000-0000-0000B2750000}"/>
    <cellStyle name="Warning Text 40 6" xfId="29607" xr:uid="{00000000-0005-0000-0000-0000B3750000}"/>
    <cellStyle name="Warning Text 40 7" xfId="29608" xr:uid="{00000000-0005-0000-0000-0000B4750000}"/>
    <cellStyle name="Warning Text 40 8" xfId="29609" xr:uid="{00000000-0005-0000-0000-0000B5750000}"/>
    <cellStyle name="Warning Text 40 9" xfId="29610" xr:uid="{00000000-0005-0000-0000-0000B6750000}"/>
    <cellStyle name="Warning Text 41" xfId="29611" xr:uid="{00000000-0005-0000-0000-0000B7750000}"/>
    <cellStyle name="Warning Text 41 2" xfId="29612" xr:uid="{00000000-0005-0000-0000-0000B8750000}"/>
    <cellStyle name="Warning Text 41 3" xfId="29613" xr:uid="{00000000-0005-0000-0000-0000B9750000}"/>
    <cellStyle name="Warning Text 41 4" xfId="29614" xr:uid="{00000000-0005-0000-0000-0000BA750000}"/>
    <cellStyle name="Warning Text 41 5" xfId="29615" xr:uid="{00000000-0005-0000-0000-0000BB750000}"/>
    <cellStyle name="Warning Text 41 6" xfId="29616" xr:uid="{00000000-0005-0000-0000-0000BC750000}"/>
    <cellStyle name="Warning Text 41 7" xfId="29617" xr:uid="{00000000-0005-0000-0000-0000BD750000}"/>
    <cellStyle name="Warning Text 41 8" xfId="29618" xr:uid="{00000000-0005-0000-0000-0000BE750000}"/>
    <cellStyle name="Warning Text 41 9" xfId="29619" xr:uid="{00000000-0005-0000-0000-0000BF750000}"/>
    <cellStyle name="Warning Text 42" xfId="29620" xr:uid="{00000000-0005-0000-0000-0000C0750000}"/>
    <cellStyle name="Warning Text 42 2" xfId="29621" xr:uid="{00000000-0005-0000-0000-0000C1750000}"/>
    <cellStyle name="Warning Text 42 3" xfId="29622" xr:uid="{00000000-0005-0000-0000-0000C2750000}"/>
    <cellStyle name="Warning Text 42 4" xfId="29623" xr:uid="{00000000-0005-0000-0000-0000C3750000}"/>
    <cellStyle name="Warning Text 42 5" xfId="29624" xr:uid="{00000000-0005-0000-0000-0000C4750000}"/>
    <cellStyle name="Warning Text 42 6" xfId="29625" xr:uid="{00000000-0005-0000-0000-0000C5750000}"/>
    <cellStyle name="Warning Text 42 7" xfId="29626" xr:uid="{00000000-0005-0000-0000-0000C6750000}"/>
    <cellStyle name="Warning Text 42 8" xfId="29627" xr:uid="{00000000-0005-0000-0000-0000C7750000}"/>
    <cellStyle name="Warning Text 42 9" xfId="29628" xr:uid="{00000000-0005-0000-0000-0000C8750000}"/>
    <cellStyle name="Warning Text 43" xfId="29629" xr:uid="{00000000-0005-0000-0000-0000C9750000}"/>
    <cellStyle name="Warning Text 43 2" xfId="29630" xr:uid="{00000000-0005-0000-0000-0000CA750000}"/>
    <cellStyle name="Warning Text 43 3" xfId="29631" xr:uid="{00000000-0005-0000-0000-0000CB750000}"/>
    <cellStyle name="Warning Text 43 4" xfId="29632" xr:uid="{00000000-0005-0000-0000-0000CC750000}"/>
    <cellStyle name="Warning Text 43 5" xfId="29633" xr:uid="{00000000-0005-0000-0000-0000CD750000}"/>
    <cellStyle name="Warning Text 43 6" xfId="29634" xr:uid="{00000000-0005-0000-0000-0000CE750000}"/>
    <cellStyle name="Warning Text 43 7" xfId="29635" xr:uid="{00000000-0005-0000-0000-0000CF750000}"/>
    <cellStyle name="Warning Text 43 8" xfId="29636" xr:uid="{00000000-0005-0000-0000-0000D0750000}"/>
    <cellStyle name="Warning Text 43 9" xfId="29637" xr:uid="{00000000-0005-0000-0000-0000D1750000}"/>
    <cellStyle name="Warning Text 44" xfId="29638" xr:uid="{00000000-0005-0000-0000-0000D2750000}"/>
    <cellStyle name="Warning Text 44 2" xfId="29639" xr:uid="{00000000-0005-0000-0000-0000D3750000}"/>
    <cellStyle name="Warning Text 44 3" xfId="29640" xr:uid="{00000000-0005-0000-0000-0000D4750000}"/>
    <cellStyle name="Warning Text 44 4" xfId="29641" xr:uid="{00000000-0005-0000-0000-0000D5750000}"/>
    <cellStyle name="Warning Text 44 5" xfId="29642" xr:uid="{00000000-0005-0000-0000-0000D6750000}"/>
    <cellStyle name="Warning Text 44 6" xfId="29643" xr:uid="{00000000-0005-0000-0000-0000D7750000}"/>
    <cellStyle name="Warning Text 44 7" xfId="29644" xr:uid="{00000000-0005-0000-0000-0000D8750000}"/>
    <cellStyle name="Warning Text 44 8" xfId="29645" xr:uid="{00000000-0005-0000-0000-0000D9750000}"/>
    <cellStyle name="Warning Text 44 9" xfId="29646" xr:uid="{00000000-0005-0000-0000-0000DA750000}"/>
    <cellStyle name="Warning Text 45" xfId="29647" xr:uid="{00000000-0005-0000-0000-0000DB750000}"/>
    <cellStyle name="Warning Text 45 2" xfId="29648" xr:uid="{00000000-0005-0000-0000-0000DC750000}"/>
    <cellStyle name="Warning Text 45 3" xfId="29649" xr:uid="{00000000-0005-0000-0000-0000DD750000}"/>
    <cellStyle name="Warning Text 45 4" xfId="29650" xr:uid="{00000000-0005-0000-0000-0000DE750000}"/>
    <cellStyle name="Warning Text 45 5" xfId="29651" xr:uid="{00000000-0005-0000-0000-0000DF750000}"/>
    <cellStyle name="Warning Text 45 6" xfId="29652" xr:uid="{00000000-0005-0000-0000-0000E0750000}"/>
    <cellStyle name="Warning Text 45 7" xfId="29653" xr:uid="{00000000-0005-0000-0000-0000E1750000}"/>
    <cellStyle name="Warning Text 45 8" xfId="29654" xr:uid="{00000000-0005-0000-0000-0000E2750000}"/>
    <cellStyle name="Warning Text 45 9" xfId="29655" xr:uid="{00000000-0005-0000-0000-0000E3750000}"/>
    <cellStyle name="Warning Text 46" xfId="29656" xr:uid="{00000000-0005-0000-0000-0000E4750000}"/>
    <cellStyle name="Warning Text 46 2" xfId="29657" xr:uid="{00000000-0005-0000-0000-0000E5750000}"/>
    <cellStyle name="Warning Text 46 3" xfId="29658" xr:uid="{00000000-0005-0000-0000-0000E6750000}"/>
    <cellStyle name="Warning Text 46 4" xfId="29659" xr:uid="{00000000-0005-0000-0000-0000E7750000}"/>
    <cellStyle name="Warning Text 46 5" xfId="29660" xr:uid="{00000000-0005-0000-0000-0000E8750000}"/>
    <cellStyle name="Warning Text 46 6" xfId="29661" xr:uid="{00000000-0005-0000-0000-0000E9750000}"/>
    <cellStyle name="Warning Text 46 7" xfId="29662" xr:uid="{00000000-0005-0000-0000-0000EA750000}"/>
    <cellStyle name="Warning Text 46 8" xfId="29663" xr:uid="{00000000-0005-0000-0000-0000EB750000}"/>
    <cellStyle name="Warning Text 46 9" xfId="29664" xr:uid="{00000000-0005-0000-0000-0000EC750000}"/>
    <cellStyle name="Warning Text 47" xfId="29665" xr:uid="{00000000-0005-0000-0000-0000ED750000}"/>
    <cellStyle name="Warning Text 47 2" xfId="29666" xr:uid="{00000000-0005-0000-0000-0000EE750000}"/>
    <cellStyle name="Warning Text 47 3" xfId="29667" xr:uid="{00000000-0005-0000-0000-0000EF750000}"/>
    <cellStyle name="Warning Text 47 4" xfId="29668" xr:uid="{00000000-0005-0000-0000-0000F0750000}"/>
    <cellStyle name="Warning Text 47 5" xfId="29669" xr:uid="{00000000-0005-0000-0000-0000F1750000}"/>
    <cellStyle name="Warning Text 47 6" xfId="29670" xr:uid="{00000000-0005-0000-0000-0000F2750000}"/>
    <cellStyle name="Warning Text 47 7" xfId="29671" xr:uid="{00000000-0005-0000-0000-0000F3750000}"/>
    <cellStyle name="Warning Text 47 8" xfId="29672" xr:uid="{00000000-0005-0000-0000-0000F4750000}"/>
    <cellStyle name="Warning Text 47 9" xfId="29673" xr:uid="{00000000-0005-0000-0000-0000F5750000}"/>
    <cellStyle name="Warning Text 48" xfId="29674" xr:uid="{00000000-0005-0000-0000-0000F6750000}"/>
    <cellStyle name="Warning Text 48 2" xfId="29675" xr:uid="{00000000-0005-0000-0000-0000F7750000}"/>
    <cellStyle name="Warning Text 48 3" xfId="29676" xr:uid="{00000000-0005-0000-0000-0000F8750000}"/>
    <cellStyle name="Warning Text 48 4" xfId="29677" xr:uid="{00000000-0005-0000-0000-0000F9750000}"/>
    <cellStyle name="Warning Text 48 5" xfId="29678" xr:uid="{00000000-0005-0000-0000-0000FA750000}"/>
    <cellStyle name="Warning Text 48 6" xfId="29679" xr:uid="{00000000-0005-0000-0000-0000FB750000}"/>
    <cellStyle name="Warning Text 48 7" xfId="29680" xr:uid="{00000000-0005-0000-0000-0000FC750000}"/>
    <cellStyle name="Warning Text 48 8" xfId="29681" xr:uid="{00000000-0005-0000-0000-0000FD750000}"/>
    <cellStyle name="Warning Text 48 9" xfId="29682" xr:uid="{00000000-0005-0000-0000-0000FE750000}"/>
    <cellStyle name="Warning Text 49" xfId="29683" xr:uid="{00000000-0005-0000-0000-0000FF750000}"/>
    <cellStyle name="Warning Text 49 2" xfId="29684" xr:uid="{00000000-0005-0000-0000-000000760000}"/>
    <cellStyle name="Warning Text 49 3" xfId="29685" xr:uid="{00000000-0005-0000-0000-000001760000}"/>
    <cellStyle name="Warning Text 49 4" xfId="29686" xr:uid="{00000000-0005-0000-0000-000002760000}"/>
    <cellStyle name="Warning Text 49 5" xfId="29687" xr:uid="{00000000-0005-0000-0000-000003760000}"/>
    <cellStyle name="Warning Text 49 6" xfId="29688" xr:uid="{00000000-0005-0000-0000-000004760000}"/>
    <cellStyle name="Warning Text 49 7" xfId="29689" xr:uid="{00000000-0005-0000-0000-000005760000}"/>
    <cellStyle name="Warning Text 49 8" xfId="29690" xr:uid="{00000000-0005-0000-0000-000006760000}"/>
    <cellStyle name="Warning Text 49 9" xfId="29691" xr:uid="{00000000-0005-0000-0000-000007760000}"/>
    <cellStyle name="Warning Text 5" xfId="29692" xr:uid="{00000000-0005-0000-0000-000008760000}"/>
    <cellStyle name="Warning Text 5 2" xfId="29693" xr:uid="{00000000-0005-0000-0000-000009760000}"/>
    <cellStyle name="Warning Text 5 2 2" xfId="29694" xr:uid="{00000000-0005-0000-0000-00000A760000}"/>
    <cellStyle name="Warning Text 5 2 2 2" xfId="29695" xr:uid="{00000000-0005-0000-0000-00000B760000}"/>
    <cellStyle name="Warning Text 5 2 2 3" xfId="29696" xr:uid="{00000000-0005-0000-0000-00000C760000}"/>
    <cellStyle name="Warning Text 5 2 2 4" xfId="29697" xr:uid="{00000000-0005-0000-0000-00000D760000}"/>
    <cellStyle name="Warning Text 5 2 2 5" xfId="29698" xr:uid="{00000000-0005-0000-0000-00000E760000}"/>
    <cellStyle name="Warning Text 5 2 2 6" xfId="29699" xr:uid="{00000000-0005-0000-0000-00000F760000}"/>
    <cellStyle name="Warning Text 5 2 2 7" xfId="29700" xr:uid="{00000000-0005-0000-0000-000010760000}"/>
    <cellStyle name="Warning Text 5 2 3" xfId="29701" xr:uid="{00000000-0005-0000-0000-000011760000}"/>
    <cellStyle name="Warning Text 5 2 4" xfId="29702" xr:uid="{00000000-0005-0000-0000-000012760000}"/>
    <cellStyle name="Warning Text 5 2 5" xfId="29703" xr:uid="{00000000-0005-0000-0000-000013760000}"/>
    <cellStyle name="Warning Text 5 2 6" xfId="29704" xr:uid="{00000000-0005-0000-0000-000014760000}"/>
    <cellStyle name="Warning Text 5 2 7" xfId="29705" xr:uid="{00000000-0005-0000-0000-000015760000}"/>
    <cellStyle name="Warning Text 5 3" xfId="29706" xr:uid="{00000000-0005-0000-0000-000016760000}"/>
    <cellStyle name="Warning Text 5 3 2" xfId="29707" xr:uid="{00000000-0005-0000-0000-000017760000}"/>
    <cellStyle name="Warning Text 5 3 2 2" xfId="29708" xr:uid="{00000000-0005-0000-0000-000018760000}"/>
    <cellStyle name="Warning Text 5 3 2 3" xfId="29709" xr:uid="{00000000-0005-0000-0000-000019760000}"/>
    <cellStyle name="Warning Text 5 3 2 4" xfId="29710" xr:uid="{00000000-0005-0000-0000-00001A760000}"/>
    <cellStyle name="Warning Text 5 3 2 5" xfId="29711" xr:uid="{00000000-0005-0000-0000-00001B760000}"/>
    <cellStyle name="Warning Text 5 3 2 6" xfId="29712" xr:uid="{00000000-0005-0000-0000-00001C760000}"/>
    <cellStyle name="Warning Text 5 3 2 7" xfId="29713" xr:uid="{00000000-0005-0000-0000-00001D760000}"/>
    <cellStyle name="Warning Text 5 3 3" xfId="29714" xr:uid="{00000000-0005-0000-0000-00001E760000}"/>
    <cellStyle name="Warning Text 5 3 4" xfId="29715" xr:uid="{00000000-0005-0000-0000-00001F760000}"/>
    <cellStyle name="Warning Text 5 3 5" xfId="29716" xr:uid="{00000000-0005-0000-0000-000020760000}"/>
    <cellStyle name="Warning Text 5 3 6" xfId="29717" xr:uid="{00000000-0005-0000-0000-000021760000}"/>
    <cellStyle name="Warning Text 5 3 7" xfId="29718" xr:uid="{00000000-0005-0000-0000-000022760000}"/>
    <cellStyle name="Warning Text 5 4" xfId="29719" xr:uid="{00000000-0005-0000-0000-000023760000}"/>
    <cellStyle name="Warning Text 5 4 2" xfId="29720" xr:uid="{00000000-0005-0000-0000-000024760000}"/>
    <cellStyle name="Warning Text 5 4 2 2" xfId="29721" xr:uid="{00000000-0005-0000-0000-000025760000}"/>
    <cellStyle name="Warning Text 5 4 2 3" xfId="29722" xr:uid="{00000000-0005-0000-0000-000026760000}"/>
    <cellStyle name="Warning Text 5 4 2 4" xfId="29723" xr:uid="{00000000-0005-0000-0000-000027760000}"/>
    <cellStyle name="Warning Text 5 4 2 5" xfId="29724" xr:uid="{00000000-0005-0000-0000-000028760000}"/>
    <cellStyle name="Warning Text 5 4 2 6" xfId="29725" xr:uid="{00000000-0005-0000-0000-000029760000}"/>
    <cellStyle name="Warning Text 5 4 2 7" xfId="29726" xr:uid="{00000000-0005-0000-0000-00002A760000}"/>
    <cellStyle name="Warning Text 5 4 3" xfId="29727" xr:uid="{00000000-0005-0000-0000-00002B760000}"/>
    <cellStyle name="Warning Text 5 4 4" xfId="29728" xr:uid="{00000000-0005-0000-0000-00002C760000}"/>
    <cellStyle name="Warning Text 5 4 5" xfId="29729" xr:uid="{00000000-0005-0000-0000-00002D760000}"/>
    <cellStyle name="Warning Text 5 4 6" xfId="29730" xr:uid="{00000000-0005-0000-0000-00002E760000}"/>
    <cellStyle name="Warning Text 5 4 7" xfId="29731" xr:uid="{00000000-0005-0000-0000-00002F760000}"/>
    <cellStyle name="Warning Text 5 5" xfId="29732" xr:uid="{00000000-0005-0000-0000-000030760000}"/>
    <cellStyle name="Warning Text 5 5 2" xfId="29733" xr:uid="{00000000-0005-0000-0000-000031760000}"/>
    <cellStyle name="Warning Text 5 5 2 2" xfId="29734" xr:uid="{00000000-0005-0000-0000-000032760000}"/>
    <cellStyle name="Warning Text 5 5 2 3" xfId="29735" xr:uid="{00000000-0005-0000-0000-000033760000}"/>
    <cellStyle name="Warning Text 5 5 2 4" xfId="29736" xr:uid="{00000000-0005-0000-0000-000034760000}"/>
    <cellStyle name="Warning Text 5 5 2 5" xfId="29737" xr:uid="{00000000-0005-0000-0000-000035760000}"/>
    <cellStyle name="Warning Text 5 5 2 6" xfId="29738" xr:uid="{00000000-0005-0000-0000-000036760000}"/>
    <cellStyle name="Warning Text 5 5 2 7" xfId="29739" xr:uid="{00000000-0005-0000-0000-000037760000}"/>
    <cellStyle name="Warning Text 5 5 3" xfId="29740" xr:uid="{00000000-0005-0000-0000-000038760000}"/>
    <cellStyle name="Warning Text 5 5 4" xfId="29741" xr:uid="{00000000-0005-0000-0000-000039760000}"/>
    <cellStyle name="Warning Text 5 5 5" xfId="29742" xr:uid="{00000000-0005-0000-0000-00003A760000}"/>
    <cellStyle name="Warning Text 5 5 6" xfId="29743" xr:uid="{00000000-0005-0000-0000-00003B760000}"/>
    <cellStyle name="Warning Text 5 5 7" xfId="29744" xr:uid="{00000000-0005-0000-0000-00003C760000}"/>
    <cellStyle name="Warning Text 5 6" xfId="29745" xr:uid="{00000000-0005-0000-0000-00003D760000}"/>
    <cellStyle name="Warning Text 5 6 2" xfId="29746" xr:uid="{00000000-0005-0000-0000-00003E760000}"/>
    <cellStyle name="Warning Text 5 6 2 2" xfId="29747" xr:uid="{00000000-0005-0000-0000-00003F760000}"/>
    <cellStyle name="Warning Text 5 6 2 3" xfId="29748" xr:uid="{00000000-0005-0000-0000-000040760000}"/>
    <cellStyle name="Warning Text 5 6 2 4" xfId="29749" xr:uid="{00000000-0005-0000-0000-000041760000}"/>
    <cellStyle name="Warning Text 5 6 2 5" xfId="29750" xr:uid="{00000000-0005-0000-0000-000042760000}"/>
    <cellStyle name="Warning Text 5 6 2 6" xfId="29751" xr:uid="{00000000-0005-0000-0000-000043760000}"/>
    <cellStyle name="Warning Text 5 6 2 7" xfId="29752" xr:uid="{00000000-0005-0000-0000-000044760000}"/>
    <cellStyle name="Warning Text 5 6 3" xfId="29753" xr:uid="{00000000-0005-0000-0000-000045760000}"/>
    <cellStyle name="Warning Text 5 6 4" xfId="29754" xr:uid="{00000000-0005-0000-0000-000046760000}"/>
    <cellStyle name="Warning Text 5 6 5" xfId="29755" xr:uid="{00000000-0005-0000-0000-000047760000}"/>
    <cellStyle name="Warning Text 5 6 6" xfId="29756" xr:uid="{00000000-0005-0000-0000-000048760000}"/>
    <cellStyle name="Warning Text 5 6 7" xfId="29757" xr:uid="{00000000-0005-0000-0000-000049760000}"/>
    <cellStyle name="Warning Text 5 7" xfId="29758" xr:uid="{00000000-0005-0000-0000-00004A760000}"/>
    <cellStyle name="Warning Text 5 7 2" xfId="29759" xr:uid="{00000000-0005-0000-0000-00004B760000}"/>
    <cellStyle name="Warning Text 5 7 2 2" xfId="29760" xr:uid="{00000000-0005-0000-0000-00004C760000}"/>
    <cellStyle name="Warning Text 5 7 2 3" xfId="29761" xr:uid="{00000000-0005-0000-0000-00004D760000}"/>
    <cellStyle name="Warning Text 5 7 2 4" xfId="29762" xr:uid="{00000000-0005-0000-0000-00004E760000}"/>
    <cellStyle name="Warning Text 5 7 2 5" xfId="29763" xr:uid="{00000000-0005-0000-0000-00004F760000}"/>
    <cellStyle name="Warning Text 5 7 2 6" xfId="29764" xr:uid="{00000000-0005-0000-0000-000050760000}"/>
    <cellStyle name="Warning Text 5 7 2 7" xfId="29765" xr:uid="{00000000-0005-0000-0000-000051760000}"/>
    <cellStyle name="Warning Text 5 7 3" xfId="29766" xr:uid="{00000000-0005-0000-0000-000052760000}"/>
    <cellStyle name="Warning Text 5 7 4" xfId="29767" xr:uid="{00000000-0005-0000-0000-000053760000}"/>
    <cellStyle name="Warning Text 5 7 5" xfId="29768" xr:uid="{00000000-0005-0000-0000-000054760000}"/>
    <cellStyle name="Warning Text 5 7 6" xfId="29769" xr:uid="{00000000-0005-0000-0000-000055760000}"/>
    <cellStyle name="Warning Text 5 7 7" xfId="29770" xr:uid="{00000000-0005-0000-0000-000056760000}"/>
    <cellStyle name="Warning Text 5 8" xfId="29771" xr:uid="{00000000-0005-0000-0000-000057760000}"/>
    <cellStyle name="Warning Text 5 9" xfId="29772" xr:uid="{00000000-0005-0000-0000-000058760000}"/>
    <cellStyle name="Warning Text 50" xfId="29773" xr:uid="{00000000-0005-0000-0000-000059760000}"/>
    <cellStyle name="Warning Text 50 2" xfId="29774" xr:uid="{00000000-0005-0000-0000-00005A760000}"/>
    <cellStyle name="Warning Text 50 3" xfId="29775" xr:uid="{00000000-0005-0000-0000-00005B760000}"/>
    <cellStyle name="Warning Text 50 4" xfId="29776" xr:uid="{00000000-0005-0000-0000-00005C760000}"/>
    <cellStyle name="Warning Text 50 5" xfId="29777" xr:uid="{00000000-0005-0000-0000-00005D760000}"/>
    <cellStyle name="Warning Text 50 6" xfId="29778" xr:uid="{00000000-0005-0000-0000-00005E760000}"/>
    <cellStyle name="Warning Text 50 7" xfId="29779" xr:uid="{00000000-0005-0000-0000-00005F760000}"/>
    <cellStyle name="Warning Text 50 8" xfId="29780" xr:uid="{00000000-0005-0000-0000-000060760000}"/>
    <cellStyle name="Warning Text 50 9" xfId="29781" xr:uid="{00000000-0005-0000-0000-000061760000}"/>
    <cellStyle name="Warning Text 51" xfId="29782" xr:uid="{00000000-0005-0000-0000-000062760000}"/>
    <cellStyle name="Warning Text 51 2" xfId="29783" xr:uid="{00000000-0005-0000-0000-000063760000}"/>
    <cellStyle name="Warning Text 51 3" xfId="29784" xr:uid="{00000000-0005-0000-0000-000064760000}"/>
    <cellStyle name="Warning Text 51 4" xfId="29785" xr:uid="{00000000-0005-0000-0000-000065760000}"/>
    <cellStyle name="Warning Text 51 5" xfId="29786" xr:uid="{00000000-0005-0000-0000-000066760000}"/>
    <cellStyle name="Warning Text 51 6" xfId="29787" xr:uid="{00000000-0005-0000-0000-000067760000}"/>
    <cellStyle name="Warning Text 51 7" xfId="29788" xr:uid="{00000000-0005-0000-0000-000068760000}"/>
    <cellStyle name="Warning Text 51 8" xfId="29789" xr:uid="{00000000-0005-0000-0000-000069760000}"/>
    <cellStyle name="Warning Text 51 9" xfId="29790" xr:uid="{00000000-0005-0000-0000-00006A760000}"/>
    <cellStyle name="Warning Text 52" xfId="29791" xr:uid="{00000000-0005-0000-0000-00006B760000}"/>
    <cellStyle name="Warning Text 52 2" xfId="29792" xr:uid="{00000000-0005-0000-0000-00006C760000}"/>
    <cellStyle name="Warning Text 52 3" xfId="29793" xr:uid="{00000000-0005-0000-0000-00006D760000}"/>
    <cellStyle name="Warning Text 52 4" xfId="29794" xr:uid="{00000000-0005-0000-0000-00006E760000}"/>
    <cellStyle name="Warning Text 52 5" xfId="29795" xr:uid="{00000000-0005-0000-0000-00006F760000}"/>
    <cellStyle name="Warning Text 52 6" xfId="29796" xr:uid="{00000000-0005-0000-0000-000070760000}"/>
    <cellStyle name="Warning Text 52 7" xfId="29797" xr:uid="{00000000-0005-0000-0000-000071760000}"/>
    <cellStyle name="Warning Text 52 8" xfId="29798" xr:uid="{00000000-0005-0000-0000-000072760000}"/>
    <cellStyle name="Warning Text 52 9" xfId="29799" xr:uid="{00000000-0005-0000-0000-000073760000}"/>
    <cellStyle name="Warning Text 53" xfId="29800" xr:uid="{00000000-0005-0000-0000-000074760000}"/>
    <cellStyle name="Warning Text 53 2" xfId="29801" xr:uid="{00000000-0005-0000-0000-000075760000}"/>
    <cellStyle name="Warning Text 53 3" xfId="29802" xr:uid="{00000000-0005-0000-0000-000076760000}"/>
    <cellStyle name="Warning Text 53 4" xfId="29803" xr:uid="{00000000-0005-0000-0000-000077760000}"/>
    <cellStyle name="Warning Text 53 5" xfId="29804" xr:uid="{00000000-0005-0000-0000-000078760000}"/>
    <cellStyle name="Warning Text 53 6" xfId="29805" xr:uid="{00000000-0005-0000-0000-000079760000}"/>
    <cellStyle name="Warning Text 53 7" xfId="29806" xr:uid="{00000000-0005-0000-0000-00007A760000}"/>
    <cellStyle name="Warning Text 53 8" xfId="29807" xr:uid="{00000000-0005-0000-0000-00007B760000}"/>
    <cellStyle name="Warning Text 53 9" xfId="29808" xr:uid="{00000000-0005-0000-0000-00007C760000}"/>
    <cellStyle name="Warning Text 54" xfId="29809" xr:uid="{00000000-0005-0000-0000-00007D760000}"/>
    <cellStyle name="Warning Text 54 2" xfId="29810" xr:uid="{00000000-0005-0000-0000-00007E760000}"/>
    <cellStyle name="Warning Text 54 3" xfId="29811" xr:uid="{00000000-0005-0000-0000-00007F760000}"/>
    <cellStyle name="Warning Text 54 4" xfId="29812" xr:uid="{00000000-0005-0000-0000-000080760000}"/>
    <cellStyle name="Warning Text 54 5" xfId="29813" xr:uid="{00000000-0005-0000-0000-000081760000}"/>
    <cellStyle name="Warning Text 54 6" xfId="29814" xr:uid="{00000000-0005-0000-0000-000082760000}"/>
    <cellStyle name="Warning Text 54 7" xfId="29815" xr:uid="{00000000-0005-0000-0000-000083760000}"/>
    <cellStyle name="Warning Text 54 8" xfId="29816" xr:uid="{00000000-0005-0000-0000-000084760000}"/>
    <cellStyle name="Warning Text 54 9" xfId="29817" xr:uid="{00000000-0005-0000-0000-000085760000}"/>
    <cellStyle name="Warning Text 55" xfId="29818" xr:uid="{00000000-0005-0000-0000-000086760000}"/>
    <cellStyle name="Warning Text 55 2" xfId="29819" xr:uid="{00000000-0005-0000-0000-000087760000}"/>
    <cellStyle name="Warning Text 55 3" xfId="29820" xr:uid="{00000000-0005-0000-0000-000088760000}"/>
    <cellStyle name="Warning Text 55 4" xfId="29821" xr:uid="{00000000-0005-0000-0000-000089760000}"/>
    <cellStyle name="Warning Text 55 5" xfId="29822" xr:uid="{00000000-0005-0000-0000-00008A760000}"/>
    <cellStyle name="Warning Text 55 6" xfId="29823" xr:uid="{00000000-0005-0000-0000-00008B760000}"/>
    <cellStyle name="Warning Text 55 7" xfId="29824" xr:uid="{00000000-0005-0000-0000-00008C760000}"/>
    <cellStyle name="Warning Text 55 8" xfId="29825" xr:uid="{00000000-0005-0000-0000-00008D760000}"/>
    <cellStyle name="Warning Text 55 9" xfId="29826" xr:uid="{00000000-0005-0000-0000-00008E760000}"/>
    <cellStyle name="Warning Text 56" xfId="29827" xr:uid="{00000000-0005-0000-0000-00008F760000}"/>
    <cellStyle name="Warning Text 56 2" xfId="29828" xr:uid="{00000000-0005-0000-0000-000090760000}"/>
    <cellStyle name="Warning Text 56 3" xfId="29829" xr:uid="{00000000-0005-0000-0000-000091760000}"/>
    <cellStyle name="Warning Text 56 4" xfId="29830" xr:uid="{00000000-0005-0000-0000-000092760000}"/>
    <cellStyle name="Warning Text 56 5" xfId="29831" xr:uid="{00000000-0005-0000-0000-000093760000}"/>
    <cellStyle name="Warning Text 56 6" xfId="29832" xr:uid="{00000000-0005-0000-0000-000094760000}"/>
    <cellStyle name="Warning Text 56 7" xfId="29833" xr:uid="{00000000-0005-0000-0000-000095760000}"/>
    <cellStyle name="Warning Text 56 8" xfId="29834" xr:uid="{00000000-0005-0000-0000-000096760000}"/>
    <cellStyle name="Warning Text 56 9" xfId="29835" xr:uid="{00000000-0005-0000-0000-000097760000}"/>
    <cellStyle name="Warning Text 57" xfId="29836" xr:uid="{00000000-0005-0000-0000-000098760000}"/>
    <cellStyle name="Warning Text 57 2" xfId="29837" xr:uid="{00000000-0005-0000-0000-000099760000}"/>
    <cellStyle name="Warning Text 57 3" xfId="29838" xr:uid="{00000000-0005-0000-0000-00009A760000}"/>
    <cellStyle name="Warning Text 57 4" xfId="29839" xr:uid="{00000000-0005-0000-0000-00009B760000}"/>
    <cellStyle name="Warning Text 57 5" xfId="29840" xr:uid="{00000000-0005-0000-0000-00009C760000}"/>
    <cellStyle name="Warning Text 57 6" xfId="29841" xr:uid="{00000000-0005-0000-0000-00009D760000}"/>
    <cellStyle name="Warning Text 57 7" xfId="29842" xr:uid="{00000000-0005-0000-0000-00009E760000}"/>
    <cellStyle name="Warning Text 57 8" xfId="29843" xr:uid="{00000000-0005-0000-0000-00009F760000}"/>
    <cellStyle name="Warning Text 57 9" xfId="29844" xr:uid="{00000000-0005-0000-0000-0000A0760000}"/>
    <cellStyle name="Warning Text 58" xfId="29845" xr:uid="{00000000-0005-0000-0000-0000A1760000}"/>
    <cellStyle name="Warning Text 58 2" xfId="29846" xr:uid="{00000000-0005-0000-0000-0000A2760000}"/>
    <cellStyle name="Warning Text 58 3" xfId="29847" xr:uid="{00000000-0005-0000-0000-0000A3760000}"/>
    <cellStyle name="Warning Text 58 4" xfId="29848" xr:uid="{00000000-0005-0000-0000-0000A4760000}"/>
    <cellStyle name="Warning Text 58 5" xfId="29849" xr:uid="{00000000-0005-0000-0000-0000A5760000}"/>
    <cellStyle name="Warning Text 58 6" xfId="29850" xr:uid="{00000000-0005-0000-0000-0000A6760000}"/>
    <cellStyle name="Warning Text 58 7" xfId="29851" xr:uid="{00000000-0005-0000-0000-0000A7760000}"/>
    <cellStyle name="Warning Text 58 8" xfId="29852" xr:uid="{00000000-0005-0000-0000-0000A8760000}"/>
    <cellStyle name="Warning Text 58 9" xfId="29853" xr:uid="{00000000-0005-0000-0000-0000A9760000}"/>
    <cellStyle name="Warning Text 59" xfId="29854" xr:uid="{00000000-0005-0000-0000-0000AA760000}"/>
    <cellStyle name="Warning Text 59 2" xfId="29855" xr:uid="{00000000-0005-0000-0000-0000AB760000}"/>
    <cellStyle name="Warning Text 59 3" xfId="29856" xr:uid="{00000000-0005-0000-0000-0000AC760000}"/>
    <cellStyle name="Warning Text 59 4" xfId="29857" xr:uid="{00000000-0005-0000-0000-0000AD760000}"/>
    <cellStyle name="Warning Text 59 5" xfId="29858" xr:uid="{00000000-0005-0000-0000-0000AE760000}"/>
    <cellStyle name="Warning Text 59 6" xfId="29859" xr:uid="{00000000-0005-0000-0000-0000AF760000}"/>
    <cellStyle name="Warning Text 59 7" xfId="29860" xr:uid="{00000000-0005-0000-0000-0000B0760000}"/>
    <cellStyle name="Warning Text 59 8" xfId="29861" xr:uid="{00000000-0005-0000-0000-0000B1760000}"/>
    <cellStyle name="Warning Text 59 9" xfId="29862" xr:uid="{00000000-0005-0000-0000-0000B2760000}"/>
    <cellStyle name="Warning Text 6" xfId="29863" xr:uid="{00000000-0005-0000-0000-0000B3760000}"/>
    <cellStyle name="Warning Text 6 2" xfId="29864" xr:uid="{00000000-0005-0000-0000-0000B4760000}"/>
    <cellStyle name="Warning Text 6 2 2" xfId="29865" xr:uid="{00000000-0005-0000-0000-0000B5760000}"/>
    <cellStyle name="Warning Text 6 2 2 2" xfId="29866" xr:uid="{00000000-0005-0000-0000-0000B6760000}"/>
    <cellStyle name="Warning Text 6 2 2 3" xfId="29867" xr:uid="{00000000-0005-0000-0000-0000B7760000}"/>
    <cellStyle name="Warning Text 6 2 2 4" xfId="29868" xr:uid="{00000000-0005-0000-0000-0000B8760000}"/>
    <cellStyle name="Warning Text 6 2 2 5" xfId="29869" xr:uid="{00000000-0005-0000-0000-0000B9760000}"/>
    <cellStyle name="Warning Text 6 2 2 6" xfId="29870" xr:uid="{00000000-0005-0000-0000-0000BA760000}"/>
    <cellStyle name="Warning Text 6 2 2 7" xfId="29871" xr:uid="{00000000-0005-0000-0000-0000BB760000}"/>
    <cellStyle name="Warning Text 6 2 3" xfId="29872" xr:uid="{00000000-0005-0000-0000-0000BC760000}"/>
    <cellStyle name="Warning Text 6 2 4" xfId="29873" xr:uid="{00000000-0005-0000-0000-0000BD760000}"/>
    <cellStyle name="Warning Text 6 2 5" xfId="29874" xr:uid="{00000000-0005-0000-0000-0000BE760000}"/>
    <cellStyle name="Warning Text 6 2 6" xfId="29875" xr:uid="{00000000-0005-0000-0000-0000BF760000}"/>
    <cellStyle name="Warning Text 6 2 7" xfId="29876" xr:uid="{00000000-0005-0000-0000-0000C0760000}"/>
    <cellStyle name="Warning Text 6 3" xfId="29877" xr:uid="{00000000-0005-0000-0000-0000C1760000}"/>
    <cellStyle name="Warning Text 6 3 2" xfId="29878" xr:uid="{00000000-0005-0000-0000-0000C2760000}"/>
    <cellStyle name="Warning Text 6 3 2 2" xfId="29879" xr:uid="{00000000-0005-0000-0000-0000C3760000}"/>
    <cellStyle name="Warning Text 6 3 2 3" xfId="29880" xr:uid="{00000000-0005-0000-0000-0000C4760000}"/>
    <cellStyle name="Warning Text 6 3 2 4" xfId="29881" xr:uid="{00000000-0005-0000-0000-0000C5760000}"/>
    <cellStyle name="Warning Text 6 3 2 5" xfId="29882" xr:uid="{00000000-0005-0000-0000-0000C6760000}"/>
    <cellStyle name="Warning Text 6 3 2 6" xfId="29883" xr:uid="{00000000-0005-0000-0000-0000C7760000}"/>
    <cellStyle name="Warning Text 6 3 2 7" xfId="29884" xr:uid="{00000000-0005-0000-0000-0000C8760000}"/>
    <cellStyle name="Warning Text 6 3 3" xfId="29885" xr:uid="{00000000-0005-0000-0000-0000C9760000}"/>
    <cellStyle name="Warning Text 6 3 4" xfId="29886" xr:uid="{00000000-0005-0000-0000-0000CA760000}"/>
    <cellStyle name="Warning Text 6 3 5" xfId="29887" xr:uid="{00000000-0005-0000-0000-0000CB760000}"/>
    <cellStyle name="Warning Text 6 3 6" xfId="29888" xr:uid="{00000000-0005-0000-0000-0000CC760000}"/>
    <cellStyle name="Warning Text 6 3 7" xfId="29889" xr:uid="{00000000-0005-0000-0000-0000CD760000}"/>
    <cellStyle name="Warning Text 6 4" xfId="29890" xr:uid="{00000000-0005-0000-0000-0000CE760000}"/>
    <cellStyle name="Warning Text 6 4 2" xfId="29891" xr:uid="{00000000-0005-0000-0000-0000CF760000}"/>
    <cellStyle name="Warning Text 6 4 2 2" xfId="29892" xr:uid="{00000000-0005-0000-0000-0000D0760000}"/>
    <cellStyle name="Warning Text 6 4 2 3" xfId="29893" xr:uid="{00000000-0005-0000-0000-0000D1760000}"/>
    <cellStyle name="Warning Text 6 4 2 4" xfId="29894" xr:uid="{00000000-0005-0000-0000-0000D2760000}"/>
    <cellStyle name="Warning Text 6 4 2 5" xfId="29895" xr:uid="{00000000-0005-0000-0000-0000D3760000}"/>
    <cellStyle name="Warning Text 6 4 2 6" xfId="29896" xr:uid="{00000000-0005-0000-0000-0000D4760000}"/>
    <cellStyle name="Warning Text 6 4 2 7" xfId="29897" xr:uid="{00000000-0005-0000-0000-0000D5760000}"/>
    <cellStyle name="Warning Text 6 4 3" xfId="29898" xr:uid="{00000000-0005-0000-0000-0000D6760000}"/>
    <cellStyle name="Warning Text 6 4 4" xfId="29899" xr:uid="{00000000-0005-0000-0000-0000D7760000}"/>
    <cellStyle name="Warning Text 6 4 5" xfId="29900" xr:uid="{00000000-0005-0000-0000-0000D8760000}"/>
    <cellStyle name="Warning Text 6 4 6" xfId="29901" xr:uid="{00000000-0005-0000-0000-0000D9760000}"/>
    <cellStyle name="Warning Text 6 4 7" xfId="29902" xr:uid="{00000000-0005-0000-0000-0000DA760000}"/>
    <cellStyle name="Warning Text 6 5" xfId="29903" xr:uid="{00000000-0005-0000-0000-0000DB760000}"/>
    <cellStyle name="Warning Text 6 5 2" xfId="29904" xr:uid="{00000000-0005-0000-0000-0000DC760000}"/>
    <cellStyle name="Warning Text 6 5 2 2" xfId="29905" xr:uid="{00000000-0005-0000-0000-0000DD760000}"/>
    <cellStyle name="Warning Text 6 5 2 3" xfId="29906" xr:uid="{00000000-0005-0000-0000-0000DE760000}"/>
    <cellStyle name="Warning Text 6 5 2 4" xfId="29907" xr:uid="{00000000-0005-0000-0000-0000DF760000}"/>
    <cellStyle name="Warning Text 6 5 2 5" xfId="29908" xr:uid="{00000000-0005-0000-0000-0000E0760000}"/>
    <cellStyle name="Warning Text 6 5 2 6" xfId="29909" xr:uid="{00000000-0005-0000-0000-0000E1760000}"/>
    <cellStyle name="Warning Text 6 5 2 7" xfId="29910" xr:uid="{00000000-0005-0000-0000-0000E2760000}"/>
    <cellStyle name="Warning Text 6 5 3" xfId="29911" xr:uid="{00000000-0005-0000-0000-0000E3760000}"/>
    <cellStyle name="Warning Text 6 5 4" xfId="29912" xr:uid="{00000000-0005-0000-0000-0000E4760000}"/>
    <cellStyle name="Warning Text 6 5 5" xfId="29913" xr:uid="{00000000-0005-0000-0000-0000E5760000}"/>
    <cellStyle name="Warning Text 6 5 6" xfId="29914" xr:uid="{00000000-0005-0000-0000-0000E6760000}"/>
    <cellStyle name="Warning Text 6 5 7" xfId="29915" xr:uid="{00000000-0005-0000-0000-0000E7760000}"/>
    <cellStyle name="Warning Text 6 6" xfId="29916" xr:uid="{00000000-0005-0000-0000-0000E8760000}"/>
    <cellStyle name="Warning Text 6 6 2" xfId="29917" xr:uid="{00000000-0005-0000-0000-0000E9760000}"/>
    <cellStyle name="Warning Text 6 6 2 2" xfId="29918" xr:uid="{00000000-0005-0000-0000-0000EA760000}"/>
    <cellStyle name="Warning Text 6 6 2 3" xfId="29919" xr:uid="{00000000-0005-0000-0000-0000EB760000}"/>
    <cellStyle name="Warning Text 6 6 2 4" xfId="29920" xr:uid="{00000000-0005-0000-0000-0000EC760000}"/>
    <cellStyle name="Warning Text 6 6 2 5" xfId="29921" xr:uid="{00000000-0005-0000-0000-0000ED760000}"/>
    <cellStyle name="Warning Text 6 6 2 6" xfId="29922" xr:uid="{00000000-0005-0000-0000-0000EE760000}"/>
    <cellStyle name="Warning Text 6 6 2 7" xfId="29923" xr:uid="{00000000-0005-0000-0000-0000EF760000}"/>
    <cellStyle name="Warning Text 6 6 3" xfId="29924" xr:uid="{00000000-0005-0000-0000-0000F0760000}"/>
    <cellStyle name="Warning Text 6 6 4" xfId="29925" xr:uid="{00000000-0005-0000-0000-0000F1760000}"/>
    <cellStyle name="Warning Text 6 6 5" xfId="29926" xr:uid="{00000000-0005-0000-0000-0000F2760000}"/>
    <cellStyle name="Warning Text 6 6 6" xfId="29927" xr:uid="{00000000-0005-0000-0000-0000F3760000}"/>
    <cellStyle name="Warning Text 6 6 7" xfId="29928" xr:uid="{00000000-0005-0000-0000-0000F4760000}"/>
    <cellStyle name="Warning Text 6 7" xfId="29929" xr:uid="{00000000-0005-0000-0000-0000F5760000}"/>
    <cellStyle name="Warning Text 6 7 2" xfId="29930" xr:uid="{00000000-0005-0000-0000-0000F6760000}"/>
    <cellStyle name="Warning Text 6 7 2 2" xfId="29931" xr:uid="{00000000-0005-0000-0000-0000F7760000}"/>
    <cellStyle name="Warning Text 6 7 2 3" xfId="29932" xr:uid="{00000000-0005-0000-0000-0000F8760000}"/>
    <cellStyle name="Warning Text 6 7 2 4" xfId="29933" xr:uid="{00000000-0005-0000-0000-0000F9760000}"/>
    <cellStyle name="Warning Text 6 7 2 5" xfId="29934" xr:uid="{00000000-0005-0000-0000-0000FA760000}"/>
    <cellStyle name="Warning Text 6 7 2 6" xfId="29935" xr:uid="{00000000-0005-0000-0000-0000FB760000}"/>
    <cellStyle name="Warning Text 6 7 2 7" xfId="29936" xr:uid="{00000000-0005-0000-0000-0000FC760000}"/>
    <cellStyle name="Warning Text 6 7 3" xfId="29937" xr:uid="{00000000-0005-0000-0000-0000FD760000}"/>
    <cellStyle name="Warning Text 6 7 4" xfId="29938" xr:uid="{00000000-0005-0000-0000-0000FE760000}"/>
    <cellStyle name="Warning Text 6 7 5" xfId="29939" xr:uid="{00000000-0005-0000-0000-0000FF760000}"/>
    <cellStyle name="Warning Text 6 7 6" xfId="29940" xr:uid="{00000000-0005-0000-0000-000000770000}"/>
    <cellStyle name="Warning Text 6 7 7" xfId="29941" xr:uid="{00000000-0005-0000-0000-000001770000}"/>
    <cellStyle name="Warning Text 6 8" xfId="29942" xr:uid="{00000000-0005-0000-0000-000002770000}"/>
    <cellStyle name="Warning Text 6 9" xfId="29943" xr:uid="{00000000-0005-0000-0000-000003770000}"/>
    <cellStyle name="Warning Text 60" xfId="29944" xr:uid="{00000000-0005-0000-0000-000004770000}"/>
    <cellStyle name="Warning Text 60 2" xfId="29945" xr:uid="{00000000-0005-0000-0000-000005770000}"/>
    <cellStyle name="Warning Text 60 3" xfId="29946" xr:uid="{00000000-0005-0000-0000-000006770000}"/>
    <cellStyle name="Warning Text 60 4" xfId="29947" xr:uid="{00000000-0005-0000-0000-000007770000}"/>
    <cellStyle name="Warning Text 60 5" xfId="29948" xr:uid="{00000000-0005-0000-0000-000008770000}"/>
    <cellStyle name="Warning Text 60 6" xfId="29949" xr:uid="{00000000-0005-0000-0000-000009770000}"/>
    <cellStyle name="Warning Text 60 7" xfId="29950" xr:uid="{00000000-0005-0000-0000-00000A770000}"/>
    <cellStyle name="Warning Text 60 8" xfId="29951" xr:uid="{00000000-0005-0000-0000-00000B770000}"/>
    <cellStyle name="Warning Text 60 9" xfId="29952" xr:uid="{00000000-0005-0000-0000-00000C770000}"/>
    <cellStyle name="Warning Text 61" xfId="29953" xr:uid="{00000000-0005-0000-0000-00000D770000}"/>
    <cellStyle name="Warning Text 61 2" xfId="29954" xr:uid="{00000000-0005-0000-0000-00000E770000}"/>
    <cellStyle name="Warning Text 61 3" xfId="29955" xr:uid="{00000000-0005-0000-0000-00000F770000}"/>
    <cellStyle name="Warning Text 61 4" xfId="29956" xr:uid="{00000000-0005-0000-0000-000010770000}"/>
    <cellStyle name="Warning Text 61 5" xfId="29957" xr:uid="{00000000-0005-0000-0000-000011770000}"/>
    <cellStyle name="Warning Text 61 6" xfId="29958" xr:uid="{00000000-0005-0000-0000-000012770000}"/>
    <cellStyle name="Warning Text 61 7" xfId="29959" xr:uid="{00000000-0005-0000-0000-000013770000}"/>
    <cellStyle name="Warning Text 61 8" xfId="29960" xr:uid="{00000000-0005-0000-0000-000014770000}"/>
    <cellStyle name="Warning Text 61 9" xfId="29961" xr:uid="{00000000-0005-0000-0000-000015770000}"/>
    <cellStyle name="Warning Text 62" xfId="29962" xr:uid="{00000000-0005-0000-0000-000016770000}"/>
    <cellStyle name="Warning Text 62 2" xfId="29963" xr:uid="{00000000-0005-0000-0000-000017770000}"/>
    <cellStyle name="Warning Text 62 3" xfId="29964" xr:uid="{00000000-0005-0000-0000-000018770000}"/>
    <cellStyle name="Warning Text 62 4" xfId="29965" xr:uid="{00000000-0005-0000-0000-000019770000}"/>
    <cellStyle name="Warning Text 62 5" xfId="29966" xr:uid="{00000000-0005-0000-0000-00001A770000}"/>
    <cellStyle name="Warning Text 62 6" xfId="29967" xr:uid="{00000000-0005-0000-0000-00001B770000}"/>
    <cellStyle name="Warning Text 62 7" xfId="29968" xr:uid="{00000000-0005-0000-0000-00001C770000}"/>
    <cellStyle name="Warning Text 62 8" xfId="29969" xr:uid="{00000000-0005-0000-0000-00001D770000}"/>
    <cellStyle name="Warning Text 62 9" xfId="29970" xr:uid="{00000000-0005-0000-0000-00001E770000}"/>
    <cellStyle name="Warning Text 63" xfId="29971" xr:uid="{00000000-0005-0000-0000-00001F770000}"/>
    <cellStyle name="Warning Text 63 2" xfId="29972" xr:uid="{00000000-0005-0000-0000-000020770000}"/>
    <cellStyle name="Warning Text 63 3" xfId="29973" xr:uid="{00000000-0005-0000-0000-000021770000}"/>
    <cellStyle name="Warning Text 63 4" xfId="29974" xr:uid="{00000000-0005-0000-0000-000022770000}"/>
    <cellStyle name="Warning Text 63 5" xfId="29975" xr:uid="{00000000-0005-0000-0000-000023770000}"/>
    <cellStyle name="Warning Text 63 6" xfId="29976" xr:uid="{00000000-0005-0000-0000-000024770000}"/>
    <cellStyle name="Warning Text 63 7" xfId="29977" xr:uid="{00000000-0005-0000-0000-000025770000}"/>
    <cellStyle name="Warning Text 63 8" xfId="29978" xr:uid="{00000000-0005-0000-0000-000026770000}"/>
    <cellStyle name="Warning Text 63 9" xfId="29979" xr:uid="{00000000-0005-0000-0000-000027770000}"/>
    <cellStyle name="Warning Text 64" xfId="29980" xr:uid="{00000000-0005-0000-0000-000028770000}"/>
    <cellStyle name="Warning Text 64 2" xfId="29981" xr:uid="{00000000-0005-0000-0000-000029770000}"/>
    <cellStyle name="Warning Text 64 3" xfId="29982" xr:uid="{00000000-0005-0000-0000-00002A770000}"/>
    <cellStyle name="Warning Text 64 4" xfId="29983" xr:uid="{00000000-0005-0000-0000-00002B770000}"/>
    <cellStyle name="Warning Text 64 5" xfId="29984" xr:uid="{00000000-0005-0000-0000-00002C770000}"/>
    <cellStyle name="Warning Text 64 6" xfId="29985" xr:uid="{00000000-0005-0000-0000-00002D770000}"/>
    <cellStyle name="Warning Text 64 7" xfId="29986" xr:uid="{00000000-0005-0000-0000-00002E770000}"/>
    <cellStyle name="Warning Text 64 8" xfId="29987" xr:uid="{00000000-0005-0000-0000-00002F770000}"/>
    <cellStyle name="Warning Text 64 9" xfId="29988" xr:uid="{00000000-0005-0000-0000-000030770000}"/>
    <cellStyle name="Warning Text 65" xfId="29989" xr:uid="{00000000-0005-0000-0000-000031770000}"/>
    <cellStyle name="Warning Text 65 2" xfId="29990" xr:uid="{00000000-0005-0000-0000-000032770000}"/>
    <cellStyle name="Warning Text 65 3" xfId="29991" xr:uid="{00000000-0005-0000-0000-000033770000}"/>
    <cellStyle name="Warning Text 65 4" xfId="29992" xr:uid="{00000000-0005-0000-0000-000034770000}"/>
    <cellStyle name="Warning Text 65 5" xfId="29993" xr:uid="{00000000-0005-0000-0000-000035770000}"/>
    <cellStyle name="Warning Text 65 6" xfId="29994" xr:uid="{00000000-0005-0000-0000-000036770000}"/>
    <cellStyle name="Warning Text 65 7" xfId="29995" xr:uid="{00000000-0005-0000-0000-000037770000}"/>
    <cellStyle name="Warning Text 65 8" xfId="29996" xr:uid="{00000000-0005-0000-0000-000038770000}"/>
    <cellStyle name="Warning Text 65 9" xfId="29997" xr:uid="{00000000-0005-0000-0000-000039770000}"/>
    <cellStyle name="Warning Text 66" xfId="29998" xr:uid="{00000000-0005-0000-0000-00003A770000}"/>
    <cellStyle name="Warning Text 66 2" xfId="29999" xr:uid="{00000000-0005-0000-0000-00003B770000}"/>
    <cellStyle name="Warning Text 66 3" xfId="30000" xr:uid="{00000000-0005-0000-0000-00003C770000}"/>
    <cellStyle name="Warning Text 66 4" xfId="30001" xr:uid="{00000000-0005-0000-0000-00003D770000}"/>
    <cellStyle name="Warning Text 66 5" xfId="30002" xr:uid="{00000000-0005-0000-0000-00003E770000}"/>
    <cellStyle name="Warning Text 66 6" xfId="30003" xr:uid="{00000000-0005-0000-0000-00003F770000}"/>
    <cellStyle name="Warning Text 66 7" xfId="30004" xr:uid="{00000000-0005-0000-0000-000040770000}"/>
    <cellStyle name="Warning Text 66 8" xfId="30005" xr:uid="{00000000-0005-0000-0000-000041770000}"/>
    <cellStyle name="Warning Text 66 9" xfId="30006" xr:uid="{00000000-0005-0000-0000-000042770000}"/>
    <cellStyle name="Warning Text 67" xfId="30007" xr:uid="{00000000-0005-0000-0000-000043770000}"/>
    <cellStyle name="Warning Text 67 2" xfId="30008" xr:uid="{00000000-0005-0000-0000-000044770000}"/>
    <cellStyle name="Warning Text 67 3" xfId="30009" xr:uid="{00000000-0005-0000-0000-000045770000}"/>
    <cellStyle name="Warning Text 67 4" xfId="30010" xr:uid="{00000000-0005-0000-0000-000046770000}"/>
    <cellStyle name="Warning Text 67 5" xfId="30011" xr:uid="{00000000-0005-0000-0000-000047770000}"/>
    <cellStyle name="Warning Text 67 6" xfId="30012" xr:uid="{00000000-0005-0000-0000-000048770000}"/>
    <cellStyle name="Warning Text 67 7" xfId="30013" xr:uid="{00000000-0005-0000-0000-000049770000}"/>
    <cellStyle name="Warning Text 67 8" xfId="30014" xr:uid="{00000000-0005-0000-0000-00004A770000}"/>
    <cellStyle name="Warning Text 67 9" xfId="30015" xr:uid="{00000000-0005-0000-0000-00004B770000}"/>
    <cellStyle name="Warning Text 68" xfId="30016" xr:uid="{00000000-0005-0000-0000-00004C770000}"/>
    <cellStyle name="Warning Text 68 2" xfId="30017" xr:uid="{00000000-0005-0000-0000-00004D770000}"/>
    <cellStyle name="Warning Text 68 3" xfId="30018" xr:uid="{00000000-0005-0000-0000-00004E770000}"/>
    <cellStyle name="Warning Text 68 4" xfId="30019" xr:uid="{00000000-0005-0000-0000-00004F770000}"/>
    <cellStyle name="Warning Text 68 5" xfId="30020" xr:uid="{00000000-0005-0000-0000-000050770000}"/>
    <cellStyle name="Warning Text 68 6" xfId="30021" xr:uid="{00000000-0005-0000-0000-000051770000}"/>
    <cellStyle name="Warning Text 68 7" xfId="30022" xr:uid="{00000000-0005-0000-0000-000052770000}"/>
    <cellStyle name="Warning Text 68 8" xfId="30023" xr:uid="{00000000-0005-0000-0000-000053770000}"/>
    <cellStyle name="Warning Text 68 9" xfId="30024" xr:uid="{00000000-0005-0000-0000-000054770000}"/>
    <cellStyle name="Warning Text 69" xfId="30025" xr:uid="{00000000-0005-0000-0000-000055770000}"/>
    <cellStyle name="Warning Text 69 2" xfId="30026" xr:uid="{00000000-0005-0000-0000-000056770000}"/>
    <cellStyle name="Warning Text 69 3" xfId="30027" xr:uid="{00000000-0005-0000-0000-000057770000}"/>
    <cellStyle name="Warning Text 69 4" xfId="30028" xr:uid="{00000000-0005-0000-0000-000058770000}"/>
    <cellStyle name="Warning Text 69 5" xfId="30029" xr:uid="{00000000-0005-0000-0000-000059770000}"/>
    <cellStyle name="Warning Text 69 6" xfId="30030" xr:uid="{00000000-0005-0000-0000-00005A770000}"/>
    <cellStyle name="Warning Text 69 7" xfId="30031" xr:uid="{00000000-0005-0000-0000-00005B770000}"/>
    <cellStyle name="Warning Text 69 8" xfId="30032" xr:uid="{00000000-0005-0000-0000-00005C770000}"/>
    <cellStyle name="Warning Text 69 9" xfId="30033" xr:uid="{00000000-0005-0000-0000-00005D770000}"/>
    <cellStyle name="Warning Text 7" xfId="30034" xr:uid="{00000000-0005-0000-0000-00005E770000}"/>
    <cellStyle name="Warning Text 7 2" xfId="30035" xr:uid="{00000000-0005-0000-0000-00005F770000}"/>
    <cellStyle name="Warning Text 7 2 2" xfId="30036" xr:uid="{00000000-0005-0000-0000-000060770000}"/>
    <cellStyle name="Warning Text 7 2 2 2" xfId="30037" xr:uid="{00000000-0005-0000-0000-000061770000}"/>
    <cellStyle name="Warning Text 7 2 2 3" xfId="30038" xr:uid="{00000000-0005-0000-0000-000062770000}"/>
    <cellStyle name="Warning Text 7 2 2 4" xfId="30039" xr:uid="{00000000-0005-0000-0000-000063770000}"/>
    <cellStyle name="Warning Text 7 2 2 5" xfId="30040" xr:uid="{00000000-0005-0000-0000-000064770000}"/>
    <cellStyle name="Warning Text 7 2 2 6" xfId="30041" xr:uid="{00000000-0005-0000-0000-000065770000}"/>
    <cellStyle name="Warning Text 7 2 2 7" xfId="30042" xr:uid="{00000000-0005-0000-0000-000066770000}"/>
    <cellStyle name="Warning Text 7 2 3" xfId="30043" xr:uid="{00000000-0005-0000-0000-000067770000}"/>
    <cellStyle name="Warning Text 7 2 4" xfId="30044" xr:uid="{00000000-0005-0000-0000-000068770000}"/>
    <cellStyle name="Warning Text 7 2 5" xfId="30045" xr:uid="{00000000-0005-0000-0000-000069770000}"/>
    <cellStyle name="Warning Text 7 2 6" xfId="30046" xr:uid="{00000000-0005-0000-0000-00006A770000}"/>
    <cellStyle name="Warning Text 7 2 7" xfId="30047" xr:uid="{00000000-0005-0000-0000-00006B770000}"/>
    <cellStyle name="Warning Text 7 3" xfId="30048" xr:uid="{00000000-0005-0000-0000-00006C770000}"/>
    <cellStyle name="Warning Text 7 3 2" xfId="30049" xr:uid="{00000000-0005-0000-0000-00006D770000}"/>
    <cellStyle name="Warning Text 7 3 2 2" xfId="30050" xr:uid="{00000000-0005-0000-0000-00006E770000}"/>
    <cellStyle name="Warning Text 7 3 2 3" xfId="30051" xr:uid="{00000000-0005-0000-0000-00006F770000}"/>
    <cellStyle name="Warning Text 7 3 2 4" xfId="30052" xr:uid="{00000000-0005-0000-0000-000070770000}"/>
    <cellStyle name="Warning Text 7 3 2 5" xfId="30053" xr:uid="{00000000-0005-0000-0000-000071770000}"/>
    <cellStyle name="Warning Text 7 3 2 6" xfId="30054" xr:uid="{00000000-0005-0000-0000-000072770000}"/>
    <cellStyle name="Warning Text 7 3 2 7" xfId="30055" xr:uid="{00000000-0005-0000-0000-000073770000}"/>
    <cellStyle name="Warning Text 7 3 3" xfId="30056" xr:uid="{00000000-0005-0000-0000-000074770000}"/>
    <cellStyle name="Warning Text 7 3 4" xfId="30057" xr:uid="{00000000-0005-0000-0000-000075770000}"/>
    <cellStyle name="Warning Text 7 3 5" xfId="30058" xr:uid="{00000000-0005-0000-0000-000076770000}"/>
    <cellStyle name="Warning Text 7 3 6" xfId="30059" xr:uid="{00000000-0005-0000-0000-000077770000}"/>
    <cellStyle name="Warning Text 7 3 7" xfId="30060" xr:uid="{00000000-0005-0000-0000-000078770000}"/>
    <cellStyle name="Warning Text 7 4" xfId="30061" xr:uid="{00000000-0005-0000-0000-000079770000}"/>
    <cellStyle name="Warning Text 7 4 2" xfId="30062" xr:uid="{00000000-0005-0000-0000-00007A770000}"/>
    <cellStyle name="Warning Text 7 4 2 2" xfId="30063" xr:uid="{00000000-0005-0000-0000-00007B770000}"/>
    <cellStyle name="Warning Text 7 4 2 3" xfId="30064" xr:uid="{00000000-0005-0000-0000-00007C770000}"/>
    <cellStyle name="Warning Text 7 4 2 4" xfId="30065" xr:uid="{00000000-0005-0000-0000-00007D770000}"/>
    <cellStyle name="Warning Text 7 4 2 5" xfId="30066" xr:uid="{00000000-0005-0000-0000-00007E770000}"/>
    <cellStyle name="Warning Text 7 4 2 6" xfId="30067" xr:uid="{00000000-0005-0000-0000-00007F770000}"/>
    <cellStyle name="Warning Text 7 4 2 7" xfId="30068" xr:uid="{00000000-0005-0000-0000-000080770000}"/>
    <cellStyle name="Warning Text 7 4 3" xfId="30069" xr:uid="{00000000-0005-0000-0000-000081770000}"/>
    <cellStyle name="Warning Text 7 4 4" xfId="30070" xr:uid="{00000000-0005-0000-0000-000082770000}"/>
    <cellStyle name="Warning Text 7 4 5" xfId="30071" xr:uid="{00000000-0005-0000-0000-000083770000}"/>
    <cellStyle name="Warning Text 7 4 6" xfId="30072" xr:uid="{00000000-0005-0000-0000-000084770000}"/>
    <cellStyle name="Warning Text 7 4 7" xfId="30073" xr:uid="{00000000-0005-0000-0000-000085770000}"/>
    <cellStyle name="Warning Text 7 5" xfId="30074" xr:uid="{00000000-0005-0000-0000-000086770000}"/>
    <cellStyle name="Warning Text 7 5 2" xfId="30075" xr:uid="{00000000-0005-0000-0000-000087770000}"/>
    <cellStyle name="Warning Text 7 5 2 2" xfId="30076" xr:uid="{00000000-0005-0000-0000-000088770000}"/>
    <cellStyle name="Warning Text 7 5 2 3" xfId="30077" xr:uid="{00000000-0005-0000-0000-000089770000}"/>
    <cellStyle name="Warning Text 7 5 2 4" xfId="30078" xr:uid="{00000000-0005-0000-0000-00008A770000}"/>
    <cellStyle name="Warning Text 7 5 2 5" xfId="30079" xr:uid="{00000000-0005-0000-0000-00008B770000}"/>
    <cellStyle name="Warning Text 7 5 2 6" xfId="30080" xr:uid="{00000000-0005-0000-0000-00008C770000}"/>
    <cellStyle name="Warning Text 7 5 2 7" xfId="30081" xr:uid="{00000000-0005-0000-0000-00008D770000}"/>
    <cellStyle name="Warning Text 7 5 3" xfId="30082" xr:uid="{00000000-0005-0000-0000-00008E770000}"/>
    <cellStyle name="Warning Text 7 5 4" xfId="30083" xr:uid="{00000000-0005-0000-0000-00008F770000}"/>
    <cellStyle name="Warning Text 7 5 5" xfId="30084" xr:uid="{00000000-0005-0000-0000-000090770000}"/>
    <cellStyle name="Warning Text 7 5 6" xfId="30085" xr:uid="{00000000-0005-0000-0000-000091770000}"/>
    <cellStyle name="Warning Text 7 5 7" xfId="30086" xr:uid="{00000000-0005-0000-0000-000092770000}"/>
    <cellStyle name="Warning Text 7 6" xfId="30087" xr:uid="{00000000-0005-0000-0000-000093770000}"/>
    <cellStyle name="Warning Text 7 6 2" xfId="30088" xr:uid="{00000000-0005-0000-0000-000094770000}"/>
    <cellStyle name="Warning Text 7 6 2 2" xfId="30089" xr:uid="{00000000-0005-0000-0000-000095770000}"/>
    <cellStyle name="Warning Text 7 6 2 3" xfId="30090" xr:uid="{00000000-0005-0000-0000-000096770000}"/>
    <cellStyle name="Warning Text 7 6 2 4" xfId="30091" xr:uid="{00000000-0005-0000-0000-000097770000}"/>
    <cellStyle name="Warning Text 7 6 2 5" xfId="30092" xr:uid="{00000000-0005-0000-0000-000098770000}"/>
    <cellStyle name="Warning Text 7 6 2 6" xfId="30093" xr:uid="{00000000-0005-0000-0000-000099770000}"/>
    <cellStyle name="Warning Text 7 6 2 7" xfId="30094" xr:uid="{00000000-0005-0000-0000-00009A770000}"/>
    <cellStyle name="Warning Text 7 6 3" xfId="30095" xr:uid="{00000000-0005-0000-0000-00009B770000}"/>
    <cellStyle name="Warning Text 7 6 4" xfId="30096" xr:uid="{00000000-0005-0000-0000-00009C770000}"/>
    <cellStyle name="Warning Text 7 6 5" xfId="30097" xr:uid="{00000000-0005-0000-0000-00009D770000}"/>
    <cellStyle name="Warning Text 7 6 6" xfId="30098" xr:uid="{00000000-0005-0000-0000-00009E770000}"/>
    <cellStyle name="Warning Text 7 6 7" xfId="30099" xr:uid="{00000000-0005-0000-0000-00009F770000}"/>
    <cellStyle name="Warning Text 7 7" xfId="30100" xr:uid="{00000000-0005-0000-0000-0000A0770000}"/>
    <cellStyle name="Warning Text 7 7 2" xfId="30101" xr:uid="{00000000-0005-0000-0000-0000A1770000}"/>
    <cellStyle name="Warning Text 7 7 2 2" xfId="30102" xr:uid="{00000000-0005-0000-0000-0000A2770000}"/>
    <cellStyle name="Warning Text 7 7 2 3" xfId="30103" xr:uid="{00000000-0005-0000-0000-0000A3770000}"/>
    <cellStyle name="Warning Text 7 7 2 4" xfId="30104" xr:uid="{00000000-0005-0000-0000-0000A4770000}"/>
    <cellStyle name="Warning Text 7 7 2 5" xfId="30105" xr:uid="{00000000-0005-0000-0000-0000A5770000}"/>
    <cellStyle name="Warning Text 7 7 2 6" xfId="30106" xr:uid="{00000000-0005-0000-0000-0000A6770000}"/>
    <cellStyle name="Warning Text 7 7 2 7" xfId="30107" xr:uid="{00000000-0005-0000-0000-0000A7770000}"/>
    <cellStyle name="Warning Text 7 7 3" xfId="30108" xr:uid="{00000000-0005-0000-0000-0000A8770000}"/>
    <cellStyle name="Warning Text 7 7 4" xfId="30109" xr:uid="{00000000-0005-0000-0000-0000A9770000}"/>
    <cellStyle name="Warning Text 7 7 5" xfId="30110" xr:uid="{00000000-0005-0000-0000-0000AA770000}"/>
    <cellStyle name="Warning Text 7 7 6" xfId="30111" xr:uid="{00000000-0005-0000-0000-0000AB770000}"/>
    <cellStyle name="Warning Text 7 7 7" xfId="30112" xr:uid="{00000000-0005-0000-0000-0000AC770000}"/>
    <cellStyle name="Warning Text 7 8" xfId="30113" xr:uid="{00000000-0005-0000-0000-0000AD770000}"/>
    <cellStyle name="Warning Text 7 9" xfId="30114" xr:uid="{00000000-0005-0000-0000-0000AE770000}"/>
    <cellStyle name="Warning Text 70" xfId="30115" xr:uid="{00000000-0005-0000-0000-0000AF770000}"/>
    <cellStyle name="Warning Text 70 2" xfId="30116" xr:uid="{00000000-0005-0000-0000-0000B0770000}"/>
    <cellStyle name="Warning Text 70 3" xfId="30117" xr:uid="{00000000-0005-0000-0000-0000B1770000}"/>
    <cellStyle name="Warning Text 70 4" xfId="30118" xr:uid="{00000000-0005-0000-0000-0000B2770000}"/>
    <cellStyle name="Warning Text 70 5" xfId="30119" xr:uid="{00000000-0005-0000-0000-0000B3770000}"/>
    <cellStyle name="Warning Text 70 6" xfId="30120" xr:uid="{00000000-0005-0000-0000-0000B4770000}"/>
    <cellStyle name="Warning Text 70 7" xfId="30121" xr:uid="{00000000-0005-0000-0000-0000B5770000}"/>
    <cellStyle name="Warning Text 70 8" xfId="30122" xr:uid="{00000000-0005-0000-0000-0000B6770000}"/>
    <cellStyle name="Warning Text 70 9" xfId="30123" xr:uid="{00000000-0005-0000-0000-0000B7770000}"/>
    <cellStyle name="Warning Text 71" xfId="30124" xr:uid="{00000000-0005-0000-0000-0000B8770000}"/>
    <cellStyle name="Warning Text 71 2" xfId="30125" xr:uid="{00000000-0005-0000-0000-0000B9770000}"/>
    <cellStyle name="Warning Text 71 3" xfId="30126" xr:uid="{00000000-0005-0000-0000-0000BA770000}"/>
    <cellStyle name="Warning Text 71 4" xfId="30127" xr:uid="{00000000-0005-0000-0000-0000BB770000}"/>
    <cellStyle name="Warning Text 71 5" xfId="30128" xr:uid="{00000000-0005-0000-0000-0000BC770000}"/>
    <cellStyle name="Warning Text 71 6" xfId="30129" xr:uid="{00000000-0005-0000-0000-0000BD770000}"/>
    <cellStyle name="Warning Text 71 7" xfId="30130" xr:uid="{00000000-0005-0000-0000-0000BE770000}"/>
    <cellStyle name="Warning Text 71 8" xfId="30131" xr:uid="{00000000-0005-0000-0000-0000BF770000}"/>
    <cellStyle name="Warning Text 71 9" xfId="30132" xr:uid="{00000000-0005-0000-0000-0000C0770000}"/>
    <cellStyle name="Warning Text 72" xfId="30133" xr:uid="{00000000-0005-0000-0000-0000C1770000}"/>
    <cellStyle name="Warning Text 8" xfId="30134" xr:uid="{00000000-0005-0000-0000-0000C2770000}"/>
    <cellStyle name="Warning Text 8 2" xfId="30135" xr:uid="{00000000-0005-0000-0000-0000C3770000}"/>
    <cellStyle name="Warning Text 8 2 2" xfId="30136" xr:uid="{00000000-0005-0000-0000-0000C4770000}"/>
    <cellStyle name="Warning Text 8 2 2 2" xfId="30137" xr:uid="{00000000-0005-0000-0000-0000C5770000}"/>
    <cellStyle name="Warning Text 8 2 2 3" xfId="30138" xr:uid="{00000000-0005-0000-0000-0000C6770000}"/>
    <cellStyle name="Warning Text 8 2 2 4" xfId="30139" xr:uid="{00000000-0005-0000-0000-0000C7770000}"/>
    <cellStyle name="Warning Text 8 2 2 5" xfId="30140" xr:uid="{00000000-0005-0000-0000-0000C8770000}"/>
    <cellStyle name="Warning Text 8 2 2 6" xfId="30141" xr:uid="{00000000-0005-0000-0000-0000C9770000}"/>
    <cellStyle name="Warning Text 8 2 2 7" xfId="30142" xr:uid="{00000000-0005-0000-0000-0000CA770000}"/>
    <cellStyle name="Warning Text 8 2 3" xfId="30143" xr:uid="{00000000-0005-0000-0000-0000CB770000}"/>
    <cellStyle name="Warning Text 8 2 4" xfId="30144" xr:uid="{00000000-0005-0000-0000-0000CC770000}"/>
    <cellStyle name="Warning Text 8 2 5" xfId="30145" xr:uid="{00000000-0005-0000-0000-0000CD770000}"/>
    <cellStyle name="Warning Text 8 2 6" xfId="30146" xr:uid="{00000000-0005-0000-0000-0000CE770000}"/>
    <cellStyle name="Warning Text 8 2 7" xfId="30147" xr:uid="{00000000-0005-0000-0000-0000CF770000}"/>
    <cellStyle name="Warning Text 8 3" xfId="30148" xr:uid="{00000000-0005-0000-0000-0000D0770000}"/>
    <cellStyle name="Warning Text 8 3 2" xfId="30149" xr:uid="{00000000-0005-0000-0000-0000D1770000}"/>
    <cellStyle name="Warning Text 8 3 2 2" xfId="30150" xr:uid="{00000000-0005-0000-0000-0000D2770000}"/>
    <cellStyle name="Warning Text 8 3 2 3" xfId="30151" xr:uid="{00000000-0005-0000-0000-0000D3770000}"/>
    <cellStyle name="Warning Text 8 3 2 4" xfId="30152" xr:uid="{00000000-0005-0000-0000-0000D4770000}"/>
    <cellStyle name="Warning Text 8 3 2 5" xfId="30153" xr:uid="{00000000-0005-0000-0000-0000D5770000}"/>
    <cellStyle name="Warning Text 8 3 2 6" xfId="30154" xr:uid="{00000000-0005-0000-0000-0000D6770000}"/>
    <cellStyle name="Warning Text 8 3 2 7" xfId="30155" xr:uid="{00000000-0005-0000-0000-0000D7770000}"/>
    <cellStyle name="Warning Text 8 3 3" xfId="30156" xr:uid="{00000000-0005-0000-0000-0000D8770000}"/>
    <cellStyle name="Warning Text 8 3 4" xfId="30157" xr:uid="{00000000-0005-0000-0000-0000D9770000}"/>
    <cellStyle name="Warning Text 8 3 5" xfId="30158" xr:uid="{00000000-0005-0000-0000-0000DA770000}"/>
    <cellStyle name="Warning Text 8 3 6" xfId="30159" xr:uid="{00000000-0005-0000-0000-0000DB770000}"/>
    <cellStyle name="Warning Text 8 3 7" xfId="30160" xr:uid="{00000000-0005-0000-0000-0000DC770000}"/>
    <cellStyle name="Warning Text 8 4" xfId="30161" xr:uid="{00000000-0005-0000-0000-0000DD770000}"/>
    <cellStyle name="Warning Text 8 4 2" xfId="30162" xr:uid="{00000000-0005-0000-0000-0000DE770000}"/>
    <cellStyle name="Warning Text 8 4 2 2" xfId="30163" xr:uid="{00000000-0005-0000-0000-0000DF770000}"/>
    <cellStyle name="Warning Text 8 4 2 3" xfId="30164" xr:uid="{00000000-0005-0000-0000-0000E0770000}"/>
    <cellStyle name="Warning Text 8 4 2 4" xfId="30165" xr:uid="{00000000-0005-0000-0000-0000E1770000}"/>
    <cellStyle name="Warning Text 8 4 2 5" xfId="30166" xr:uid="{00000000-0005-0000-0000-0000E2770000}"/>
    <cellStyle name="Warning Text 8 4 2 6" xfId="30167" xr:uid="{00000000-0005-0000-0000-0000E3770000}"/>
    <cellStyle name="Warning Text 8 4 2 7" xfId="30168" xr:uid="{00000000-0005-0000-0000-0000E4770000}"/>
    <cellStyle name="Warning Text 8 4 3" xfId="30169" xr:uid="{00000000-0005-0000-0000-0000E5770000}"/>
    <cellStyle name="Warning Text 8 4 4" xfId="30170" xr:uid="{00000000-0005-0000-0000-0000E6770000}"/>
    <cellStyle name="Warning Text 8 4 5" xfId="30171" xr:uid="{00000000-0005-0000-0000-0000E7770000}"/>
    <cellStyle name="Warning Text 8 4 6" xfId="30172" xr:uid="{00000000-0005-0000-0000-0000E8770000}"/>
    <cellStyle name="Warning Text 8 4 7" xfId="30173" xr:uid="{00000000-0005-0000-0000-0000E9770000}"/>
    <cellStyle name="Warning Text 8 5" xfId="30174" xr:uid="{00000000-0005-0000-0000-0000EA770000}"/>
    <cellStyle name="Warning Text 8 5 2" xfId="30175" xr:uid="{00000000-0005-0000-0000-0000EB770000}"/>
    <cellStyle name="Warning Text 8 5 2 2" xfId="30176" xr:uid="{00000000-0005-0000-0000-0000EC770000}"/>
    <cellStyle name="Warning Text 8 5 2 3" xfId="30177" xr:uid="{00000000-0005-0000-0000-0000ED770000}"/>
    <cellStyle name="Warning Text 8 5 2 4" xfId="30178" xr:uid="{00000000-0005-0000-0000-0000EE770000}"/>
    <cellStyle name="Warning Text 8 5 2 5" xfId="30179" xr:uid="{00000000-0005-0000-0000-0000EF770000}"/>
    <cellStyle name="Warning Text 8 5 2 6" xfId="30180" xr:uid="{00000000-0005-0000-0000-0000F0770000}"/>
    <cellStyle name="Warning Text 8 5 2 7" xfId="30181" xr:uid="{00000000-0005-0000-0000-0000F1770000}"/>
    <cellStyle name="Warning Text 8 5 3" xfId="30182" xr:uid="{00000000-0005-0000-0000-0000F2770000}"/>
    <cellStyle name="Warning Text 8 5 4" xfId="30183" xr:uid="{00000000-0005-0000-0000-0000F3770000}"/>
    <cellStyle name="Warning Text 8 5 5" xfId="30184" xr:uid="{00000000-0005-0000-0000-0000F4770000}"/>
    <cellStyle name="Warning Text 8 5 6" xfId="30185" xr:uid="{00000000-0005-0000-0000-0000F5770000}"/>
    <cellStyle name="Warning Text 8 5 7" xfId="30186" xr:uid="{00000000-0005-0000-0000-0000F6770000}"/>
    <cellStyle name="Warning Text 8 6" xfId="30187" xr:uid="{00000000-0005-0000-0000-0000F7770000}"/>
    <cellStyle name="Warning Text 8 6 2" xfId="30188" xr:uid="{00000000-0005-0000-0000-0000F8770000}"/>
    <cellStyle name="Warning Text 8 6 2 2" xfId="30189" xr:uid="{00000000-0005-0000-0000-0000F9770000}"/>
    <cellStyle name="Warning Text 8 6 2 3" xfId="30190" xr:uid="{00000000-0005-0000-0000-0000FA770000}"/>
    <cellStyle name="Warning Text 8 6 2 4" xfId="30191" xr:uid="{00000000-0005-0000-0000-0000FB770000}"/>
    <cellStyle name="Warning Text 8 6 2 5" xfId="30192" xr:uid="{00000000-0005-0000-0000-0000FC770000}"/>
    <cellStyle name="Warning Text 8 6 2 6" xfId="30193" xr:uid="{00000000-0005-0000-0000-0000FD770000}"/>
    <cellStyle name="Warning Text 8 6 2 7" xfId="30194" xr:uid="{00000000-0005-0000-0000-0000FE770000}"/>
    <cellStyle name="Warning Text 8 6 3" xfId="30195" xr:uid="{00000000-0005-0000-0000-0000FF770000}"/>
    <cellStyle name="Warning Text 8 6 4" xfId="30196" xr:uid="{00000000-0005-0000-0000-000000780000}"/>
    <cellStyle name="Warning Text 8 6 5" xfId="30197" xr:uid="{00000000-0005-0000-0000-000001780000}"/>
    <cellStyle name="Warning Text 8 6 6" xfId="30198" xr:uid="{00000000-0005-0000-0000-000002780000}"/>
    <cellStyle name="Warning Text 8 6 7" xfId="30199" xr:uid="{00000000-0005-0000-0000-000003780000}"/>
    <cellStyle name="Warning Text 8 7" xfId="30200" xr:uid="{00000000-0005-0000-0000-000004780000}"/>
    <cellStyle name="Warning Text 8 7 2" xfId="30201" xr:uid="{00000000-0005-0000-0000-000005780000}"/>
    <cellStyle name="Warning Text 8 7 2 2" xfId="30202" xr:uid="{00000000-0005-0000-0000-000006780000}"/>
    <cellStyle name="Warning Text 8 7 2 3" xfId="30203" xr:uid="{00000000-0005-0000-0000-000007780000}"/>
    <cellStyle name="Warning Text 8 7 2 4" xfId="30204" xr:uid="{00000000-0005-0000-0000-000008780000}"/>
    <cellStyle name="Warning Text 8 7 2 5" xfId="30205" xr:uid="{00000000-0005-0000-0000-000009780000}"/>
    <cellStyle name="Warning Text 8 7 2 6" xfId="30206" xr:uid="{00000000-0005-0000-0000-00000A780000}"/>
    <cellStyle name="Warning Text 8 7 2 7" xfId="30207" xr:uid="{00000000-0005-0000-0000-00000B780000}"/>
    <cellStyle name="Warning Text 8 7 3" xfId="30208" xr:uid="{00000000-0005-0000-0000-00000C780000}"/>
    <cellStyle name="Warning Text 8 7 4" xfId="30209" xr:uid="{00000000-0005-0000-0000-00000D780000}"/>
    <cellStyle name="Warning Text 8 7 5" xfId="30210" xr:uid="{00000000-0005-0000-0000-00000E780000}"/>
    <cellStyle name="Warning Text 8 7 6" xfId="30211" xr:uid="{00000000-0005-0000-0000-00000F780000}"/>
    <cellStyle name="Warning Text 8 7 7" xfId="30212" xr:uid="{00000000-0005-0000-0000-000010780000}"/>
    <cellStyle name="Warning Text 8 8" xfId="30213" xr:uid="{00000000-0005-0000-0000-000011780000}"/>
    <cellStyle name="Warning Text 8 9" xfId="30214" xr:uid="{00000000-0005-0000-0000-000012780000}"/>
    <cellStyle name="Warning Text 9" xfId="30215" xr:uid="{00000000-0005-0000-0000-000013780000}"/>
    <cellStyle name="Warning Text 9 2" xfId="30216" xr:uid="{00000000-0005-0000-0000-000014780000}"/>
    <cellStyle name="Warning Text 9 3" xfId="30217" xr:uid="{00000000-0005-0000-0000-000015780000}"/>
    <cellStyle name="Warning Text 9 4" xfId="30218" xr:uid="{00000000-0005-0000-0000-000016780000}"/>
    <cellStyle name="Warning Text 9 5" xfId="30219" xr:uid="{00000000-0005-0000-0000-000017780000}"/>
    <cellStyle name="Warning Text 9 6" xfId="30220" xr:uid="{00000000-0005-0000-0000-000018780000}"/>
    <cellStyle name="Warning Text 9 7" xfId="30221" xr:uid="{00000000-0005-0000-0000-000019780000}"/>
    <cellStyle name="Warning Text 9 8" xfId="30222" xr:uid="{00000000-0005-0000-0000-00001A780000}"/>
    <cellStyle name="Warning Text 9 9" xfId="30223" xr:uid="{00000000-0005-0000-0000-00001B780000}"/>
    <cellStyle name="Yfirskrift" xfId="51" xr:uid="{00000000-0005-0000-0000-00001C780000}"/>
    <cellStyle name="Yfirskrift - millistærð" xfId="52" xr:uid="{00000000-0005-0000-0000-00001D780000}"/>
    <cellStyle name="Yfirskrift - millistærð 2" xfId="30226" xr:uid="{00000000-0005-0000-0000-00001E780000}"/>
    <cellStyle name="Yfirskrift - millistærð 3" xfId="30227" xr:uid="{00000000-0005-0000-0000-00001F780000}"/>
    <cellStyle name="Yfirskrift - millistærð 4" xfId="30228" xr:uid="{00000000-0005-0000-0000-000020780000}"/>
    <cellStyle name="Yfirskrift - millistærð 5" xfId="30229" xr:uid="{00000000-0005-0000-0000-000021780000}"/>
    <cellStyle name="Yfirskrift - millistærð 6" xfId="30225" xr:uid="{00000000-0005-0000-0000-000022780000}"/>
    <cellStyle name="Yfirskrift 10" xfId="30230" xr:uid="{00000000-0005-0000-0000-000023780000}"/>
    <cellStyle name="Yfirskrift 11" xfId="30231" xr:uid="{00000000-0005-0000-0000-000024780000}"/>
    <cellStyle name="Yfirskrift 12" xfId="30232" xr:uid="{00000000-0005-0000-0000-000025780000}"/>
    <cellStyle name="Yfirskrift 13" xfId="30233" xr:uid="{00000000-0005-0000-0000-000026780000}"/>
    <cellStyle name="Yfirskrift 14" xfId="30234" xr:uid="{00000000-0005-0000-0000-000027780000}"/>
    <cellStyle name="Yfirskrift 15" xfId="30235" xr:uid="{00000000-0005-0000-0000-000028780000}"/>
    <cellStyle name="Yfirskrift 16" xfId="30236" xr:uid="{00000000-0005-0000-0000-000029780000}"/>
    <cellStyle name="Yfirskrift 17" xfId="30237" xr:uid="{00000000-0005-0000-0000-00002A780000}"/>
    <cellStyle name="Yfirskrift 18" xfId="30238" xr:uid="{00000000-0005-0000-0000-00002B780000}"/>
    <cellStyle name="Yfirskrift 19" xfId="30239" xr:uid="{00000000-0005-0000-0000-00002C780000}"/>
    <cellStyle name="Yfirskrift 2" xfId="30240" xr:uid="{00000000-0005-0000-0000-00002D780000}"/>
    <cellStyle name="Yfirskrift 20" xfId="30241" xr:uid="{00000000-0005-0000-0000-00002E780000}"/>
    <cellStyle name="Yfirskrift 21" xfId="30242" xr:uid="{00000000-0005-0000-0000-00002F780000}"/>
    <cellStyle name="Yfirskrift 22" xfId="30243" xr:uid="{00000000-0005-0000-0000-000030780000}"/>
    <cellStyle name="Yfirskrift 23" xfId="30244" xr:uid="{00000000-0005-0000-0000-000031780000}"/>
    <cellStyle name="Yfirskrift 24" xfId="30245" xr:uid="{00000000-0005-0000-0000-000032780000}"/>
    <cellStyle name="Yfirskrift 25" xfId="30246" xr:uid="{00000000-0005-0000-0000-000033780000}"/>
    <cellStyle name="Yfirskrift 26" xfId="30247" xr:uid="{00000000-0005-0000-0000-000034780000}"/>
    <cellStyle name="Yfirskrift 27" xfId="30248" xr:uid="{00000000-0005-0000-0000-000035780000}"/>
    <cellStyle name="Yfirskrift 28" xfId="30249" xr:uid="{00000000-0005-0000-0000-000036780000}"/>
    <cellStyle name="Yfirskrift 29" xfId="30250" xr:uid="{00000000-0005-0000-0000-000037780000}"/>
    <cellStyle name="Yfirskrift 3" xfId="30251" xr:uid="{00000000-0005-0000-0000-000038780000}"/>
    <cellStyle name="Yfirskrift 30" xfId="30252" xr:uid="{00000000-0005-0000-0000-000039780000}"/>
    <cellStyle name="Yfirskrift 31" xfId="30253" xr:uid="{00000000-0005-0000-0000-00003A780000}"/>
    <cellStyle name="Yfirskrift 32" xfId="30254" xr:uid="{00000000-0005-0000-0000-00003B780000}"/>
    <cellStyle name="Yfirskrift 33" xfId="30255" xr:uid="{00000000-0005-0000-0000-00003C780000}"/>
    <cellStyle name="Yfirskrift 34" xfId="30256" xr:uid="{00000000-0005-0000-0000-00003D780000}"/>
    <cellStyle name="Yfirskrift 35" xfId="30257" xr:uid="{00000000-0005-0000-0000-00003E780000}"/>
    <cellStyle name="Yfirskrift 36" xfId="30258" xr:uid="{00000000-0005-0000-0000-00003F780000}"/>
    <cellStyle name="Yfirskrift 37" xfId="30259" xr:uid="{00000000-0005-0000-0000-000040780000}"/>
    <cellStyle name="Yfirskrift 38" xfId="30260" xr:uid="{00000000-0005-0000-0000-000041780000}"/>
    <cellStyle name="Yfirskrift 39" xfId="30261" xr:uid="{00000000-0005-0000-0000-000042780000}"/>
    <cellStyle name="Yfirskrift 4" xfId="30262" xr:uid="{00000000-0005-0000-0000-000043780000}"/>
    <cellStyle name="Yfirskrift 40" xfId="30263" xr:uid="{00000000-0005-0000-0000-000044780000}"/>
    <cellStyle name="Yfirskrift 41" xfId="30264" xr:uid="{00000000-0005-0000-0000-000045780000}"/>
    <cellStyle name="Yfirskrift 42" xfId="30265" xr:uid="{00000000-0005-0000-0000-000046780000}"/>
    <cellStyle name="Yfirskrift 43" xfId="30224" xr:uid="{00000000-0005-0000-0000-000047780000}"/>
    <cellStyle name="Yfirskrift 5" xfId="30266" xr:uid="{00000000-0005-0000-0000-000048780000}"/>
    <cellStyle name="Yfirskrift 6" xfId="30267" xr:uid="{00000000-0005-0000-0000-000049780000}"/>
    <cellStyle name="Yfirskrift 7" xfId="30268" xr:uid="{00000000-0005-0000-0000-00004A780000}"/>
    <cellStyle name="Yfirskrift 8" xfId="30269" xr:uid="{00000000-0005-0000-0000-00004B780000}"/>
    <cellStyle name="Yfirskrift 9" xfId="30270" xr:uid="{00000000-0005-0000-0000-00004C780000}"/>
    <cellStyle name="Yfirskrift_Kolla1" xfId="30271" xr:uid="{00000000-0005-0000-0000-00004D780000}"/>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3A3-49C9-9380-6AA7BC18E331}"/>
              </c:ext>
            </c:extLst>
          </c:dPt>
          <c:dPt>
            <c:idx val="4"/>
            <c:invertIfNegative val="0"/>
            <c:bubble3D val="0"/>
            <c:spPr>
              <a:solidFill>
                <a:srgbClr val="3562A8"/>
              </a:solidFill>
            </c:spPr>
            <c:extLst>
              <c:ext xmlns:c16="http://schemas.microsoft.com/office/drawing/2014/chart" uri="{C3380CC4-5D6E-409C-BE32-E72D297353CC}">
                <c16:uniqueId val="{00000003-53A3-49C9-9380-6AA7BC18E331}"/>
              </c:ext>
            </c:extLst>
          </c:dPt>
          <c:dPt>
            <c:idx val="8"/>
            <c:invertIfNegative val="0"/>
            <c:bubble3D val="0"/>
            <c:spPr>
              <a:solidFill>
                <a:srgbClr val="FA7800"/>
              </a:solidFill>
            </c:spPr>
            <c:extLst>
              <c:ext xmlns:c16="http://schemas.microsoft.com/office/drawing/2014/chart" uri="{C3380CC4-5D6E-409C-BE32-E72D297353CC}">
                <c16:uniqueId val="{00000005-53A3-49C9-9380-6AA7BC18E331}"/>
              </c:ext>
            </c:extLst>
          </c:dPt>
          <c:dPt>
            <c:idx val="9"/>
            <c:invertIfNegative val="0"/>
            <c:bubble3D val="0"/>
            <c:extLst>
              <c:ext xmlns:c16="http://schemas.microsoft.com/office/drawing/2014/chart" uri="{C3380CC4-5D6E-409C-BE32-E72D297353CC}">
                <c16:uniqueId val="{00000006-53A3-49C9-9380-6AA7BC18E331}"/>
              </c:ext>
            </c:extLst>
          </c:dPt>
          <c:dLbls>
            <c:dLbl>
              <c:idx val="1"/>
              <c:delete val="1"/>
              <c:extLst>
                <c:ext xmlns:c15="http://schemas.microsoft.com/office/drawing/2012/chart" uri="{CE6537A1-D6FC-4f65-9D91-7224C49458BB}"/>
                <c:ext xmlns:c16="http://schemas.microsoft.com/office/drawing/2014/chart" uri="{C3380CC4-5D6E-409C-BE32-E72D297353CC}">
                  <c16:uniqueId val="{00000007-53A3-49C9-9380-6AA7BC18E331}"/>
                </c:ext>
              </c:extLst>
            </c:dLbl>
            <c:dLbl>
              <c:idx val="2"/>
              <c:delete val="1"/>
              <c:extLst>
                <c:ext xmlns:c15="http://schemas.microsoft.com/office/drawing/2012/chart" uri="{CE6537A1-D6FC-4f65-9D91-7224C49458BB}"/>
                <c:ext xmlns:c16="http://schemas.microsoft.com/office/drawing/2014/chart" uri="{C3380CC4-5D6E-409C-BE32-E72D297353CC}">
                  <c16:uniqueId val="{00000008-53A3-49C9-9380-6AA7BC18E331}"/>
                </c:ext>
              </c:extLst>
            </c:dLbl>
            <c:dLbl>
              <c:idx val="3"/>
              <c:delete val="1"/>
              <c:extLst>
                <c:ext xmlns:c15="http://schemas.microsoft.com/office/drawing/2012/chart" uri="{CE6537A1-D6FC-4f65-9D91-7224C49458BB}"/>
                <c:ext xmlns:c16="http://schemas.microsoft.com/office/drawing/2014/chart" uri="{C3380CC4-5D6E-409C-BE32-E72D297353CC}">
                  <c16:uniqueId val="{00000009-53A3-49C9-9380-6AA7BC18E331}"/>
                </c:ext>
              </c:extLst>
            </c:dLbl>
            <c:dLbl>
              <c:idx val="5"/>
              <c:delete val="1"/>
              <c:extLst>
                <c:ext xmlns:c15="http://schemas.microsoft.com/office/drawing/2012/chart" uri="{CE6537A1-D6FC-4f65-9D91-7224C49458BB}"/>
                <c:ext xmlns:c16="http://schemas.microsoft.com/office/drawing/2014/chart" uri="{C3380CC4-5D6E-409C-BE32-E72D297353CC}">
                  <c16:uniqueId val="{0000000A-53A3-49C9-9380-6AA7BC18E331}"/>
                </c:ext>
              </c:extLst>
            </c:dLbl>
            <c:dLbl>
              <c:idx val="6"/>
              <c:delete val="1"/>
              <c:extLst>
                <c:ext xmlns:c15="http://schemas.microsoft.com/office/drawing/2012/chart" uri="{CE6537A1-D6FC-4f65-9D91-7224C49458BB}"/>
                <c:ext xmlns:c16="http://schemas.microsoft.com/office/drawing/2014/chart" uri="{C3380CC4-5D6E-409C-BE32-E72D297353CC}">
                  <c16:uniqueId val="{0000000B-53A3-49C9-9380-6AA7BC18E331}"/>
                </c:ext>
              </c:extLst>
            </c:dLbl>
            <c:dLbl>
              <c:idx val="7"/>
              <c:delete val="1"/>
              <c:extLst>
                <c:ext xmlns:c15="http://schemas.microsoft.com/office/drawing/2012/chart" uri="{CE6537A1-D6FC-4f65-9D91-7224C49458BB}"/>
                <c:ext xmlns:c16="http://schemas.microsoft.com/office/drawing/2014/chart" uri="{C3380CC4-5D6E-409C-BE32-E72D297353CC}">
                  <c16:uniqueId val="{0000000C-53A3-49C9-9380-6AA7BC18E33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53A3-49C9-9380-6AA7BC18E331}"/>
            </c:ext>
          </c:extLst>
        </c:ser>
        <c:dLbls>
          <c:showLegendKey val="0"/>
          <c:showVal val="1"/>
          <c:showCatName val="0"/>
          <c:showSerName val="0"/>
          <c:showPercent val="0"/>
          <c:showBubbleSize val="0"/>
        </c:dLbls>
        <c:gapWidth val="40"/>
        <c:axId val="1177743216"/>
        <c:axId val="117774204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53A3-49C9-9380-6AA7BC18E331}"/>
            </c:ext>
          </c:extLst>
        </c:ser>
        <c:dLbls>
          <c:showLegendKey val="0"/>
          <c:showVal val="1"/>
          <c:showCatName val="0"/>
          <c:showSerName val="0"/>
          <c:showPercent val="0"/>
          <c:showBubbleSize val="0"/>
        </c:dLbls>
        <c:marker val="1"/>
        <c:smooth val="0"/>
        <c:axId val="1177736944"/>
        <c:axId val="1177741256"/>
      </c:lineChart>
      <c:catAx>
        <c:axId val="1177743216"/>
        <c:scaling>
          <c:orientation val="minMax"/>
        </c:scaling>
        <c:delete val="0"/>
        <c:axPos val="b"/>
        <c:numFmt formatCode="General" sourceLinked="1"/>
        <c:majorTickMark val="none"/>
        <c:minorTickMark val="none"/>
        <c:tickLblPos val="none"/>
        <c:spPr>
          <a:ln w="31750">
            <a:solidFill>
              <a:schemeClr val="tx1"/>
            </a:solidFill>
          </a:ln>
        </c:spPr>
        <c:crossAx val="1177742040"/>
        <c:crosses val="autoZero"/>
        <c:auto val="1"/>
        <c:lblAlgn val="ctr"/>
        <c:lblOffset val="0"/>
        <c:noMultiLvlLbl val="0"/>
      </c:catAx>
      <c:valAx>
        <c:axId val="1177742040"/>
        <c:scaling>
          <c:orientation val="minMax"/>
          <c:max val="30"/>
          <c:min val="-15"/>
        </c:scaling>
        <c:delete val="0"/>
        <c:axPos val="l"/>
        <c:numFmt formatCode="0.0" sourceLinked="1"/>
        <c:majorTickMark val="none"/>
        <c:minorTickMark val="none"/>
        <c:tickLblPos val="none"/>
        <c:spPr>
          <a:ln>
            <a:noFill/>
          </a:ln>
        </c:spPr>
        <c:crossAx val="1177743216"/>
        <c:crosses val="autoZero"/>
        <c:crossBetween val="between"/>
        <c:majorUnit val="5"/>
      </c:valAx>
      <c:valAx>
        <c:axId val="117774125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1177736944"/>
        <c:crosses val="max"/>
        <c:crossBetween val="between"/>
        <c:majorUnit val="5"/>
      </c:valAx>
      <c:catAx>
        <c:axId val="1177736944"/>
        <c:scaling>
          <c:orientation val="minMax"/>
        </c:scaling>
        <c:delete val="1"/>
        <c:axPos val="b"/>
        <c:numFmt formatCode="General" sourceLinked="1"/>
        <c:majorTickMark val="out"/>
        <c:minorTickMark val="none"/>
        <c:tickLblPos val="nextTo"/>
        <c:crossAx val="11777412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B7E-4A37-8AFC-611FE961B2B3}"/>
              </c:ext>
            </c:extLst>
          </c:dPt>
          <c:dPt>
            <c:idx val="2"/>
            <c:invertIfNegative val="0"/>
            <c:bubble3D val="0"/>
            <c:spPr>
              <a:solidFill>
                <a:srgbClr val="87A4D4"/>
              </a:solidFill>
            </c:spPr>
            <c:extLst>
              <c:ext xmlns:c16="http://schemas.microsoft.com/office/drawing/2014/chart" uri="{C3380CC4-5D6E-409C-BE32-E72D297353CC}">
                <c16:uniqueId val="{00000003-3B7E-4A37-8AFC-611FE961B2B3}"/>
              </c:ext>
            </c:extLst>
          </c:dPt>
          <c:dPt>
            <c:idx val="3"/>
            <c:invertIfNegative val="0"/>
            <c:bubble3D val="0"/>
            <c:spPr>
              <a:solidFill>
                <a:srgbClr val="87A4D4"/>
              </a:solidFill>
            </c:spPr>
            <c:extLst>
              <c:ext xmlns:c16="http://schemas.microsoft.com/office/drawing/2014/chart" uri="{C3380CC4-5D6E-409C-BE32-E72D297353CC}">
                <c16:uniqueId val="{00000005-3B7E-4A37-8AFC-611FE961B2B3}"/>
              </c:ext>
            </c:extLst>
          </c:dPt>
          <c:dPt>
            <c:idx val="5"/>
            <c:invertIfNegative val="0"/>
            <c:bubble3D val="0"/>
            <c:spPr>
              <a:solidFill>
                <a:srgbClr val="87A4D4"/>
              </a:solidFill>
            </c:spPr>
            <c:extLst>
              <c:ext xmlns:c16="http://schemas.microsoft.com/office/drawing/2014/chart" uri="{C3380CC4-5D6E-409C-BE32-E72D297353CC}">
                <c16:uniqueId val="{00000007-3B7E-4A37-8AFC-611FE961B2B3}"/>
              </c:ext>
            </c:extLst>
          </c:dPt>
          <c:dPt>
            <c:idx val="6"/>
            <c:invertIfNegative val="0"/>
            <c:bubble3D val="0"/>
            <c:spPr>
              <a:solidFill>
                <a:srgbClr val="87A4D4"/>
              </a:solidFill>
            </c:spPr>
            <c:extLst>
              <c:ext xmlns:c16="http://schemas.microsoft.com/office/drawing/2014/chart" uri="{C3380CC4-5D6E-409C-BE32-E72D297353CC}">
                <c16:uniqueId val="{00000009-3B7E-4A37-8AFC-611FE961B2B3}"/>
              </c:ext>
            </c:extLst>
          </c:dPt>
          <c:dPt>
            <c:idx val="7"/>
            <c:invertIfNegative val="0"/>
            <c:bubble3D val="0"/>
            <c:spPr>
              <a:solidFill>
                <a:srgbClr val="87A4D4"/>
              </a:solidFill>
            </c:spPr>
            <c:extLst>
              <c:ext xmlns:c16="http://schemas.microsoft.com/office/drawing/2014/chart" uri="{C3380CC4-5D6E-409C-BE32-E72D297353CC}">
                <c16:uniqueId val="{0000000B-3B7E-4A37-8AFC-611FE961B2B3}"/>
              </c:ext>
            </c:extLst>
          </c:dPt>
          <c:dPt>
            <c:idx val="8"/>
            <c:invertIfNegative val="0"/>
            <c:bubble3D val="0"/>
            <c:spPr>
              <a:solidFill>
                <a:srgbClr val="FA7800"/>
              </a:solidFill>
            </c:spPr>
            <c:extLst>
              <c:ext xmlns:c16="http://schemas.microsoft.com/office/drawing/2014/chart" uri="{C3380CC4-5D6E-409C-BE32-E72D297353CC}">
                <c16:uniqueId val="{0000000D-3B7E-4A37-8AFC-611FE961B2B3}"/>
              </c:ext>
            </c:extLst>
          </c:dPt>
          <c:dPt>
            <c:idx val="9"/>
            <c:invertIfNegative val="0"/>
            <c:bubble3D val="0"/>
            <c:spPr>
              <a:solidFill>
                <a:srgbClr val="FA7800"/>
              </a:solidFill>
            </c:spPr>
            <c:extLst>
              <c:ext xmlns:c16="http://schemas.microsoft.com/office/drawing/2014/chart" uri="{C3380CC4-5D6E-409C-BE32-E72D297353CC}">
                <c16:uniqueId val="{0000000F-3B7E-4A37-8AFC-611FE961B2B3}"/>
              </c:ext>
            </c:extLst>
          </c:dPt>
          <c:dLbls>
            <c:dLbl>
              <c:idx val="1"/>
              <c:delete val="1"/>
              <c:extLst>
                <c:ext xmlns:c15="http://schemas.microsoft.com/office/drawing/2012/chart" uri="{CE6537A1-D6FC-4f65-9D91-7224C49458BB}"/>
                <c:ext xmlns:c16="http://schemas.microsoft.com/office/drawing/2014/chart" uri="{C3380CC4-5D6E-409C-BE32-E72D297353CC}">
                  <c16:uniqueId val="{00000001-3B7E-4A37-8AFC-611FE961B2B3}"/>
                </c:ext>
              </c:extLst>
            </c:dLbl>
            <c:dLbl>
              <c:idx val="2"/>
              <c:delete val="1"/>
              <c:extLst>
                <c:ext xmlns:c15="http://schemas.microsoft.com/office/drawing/2012/chart" uri="{CE6537A1-D6FC-4f65-9D91-7224C49458BB}"/>
                <c:ext xmlns:c16="http://schemas.microsoft.com/office/drawing/2014/chart" uri="{C3380CC4-5D6E-409C-BE32-E72D297353CC}">
                  <c16:uniqueId val="{00000003-3B7E-4A37-8AFC-611FE961B2B3}"/>
                </c:ext>
              </c:extLst>
            </c:dLbl>
            <c:dLbl>
              <c:idx val="3"/>
              <c:delete val="1"/>
              <c:extLst>
                <c:ext xmlns:c15="http://schemas.microsoft.com/office/drawing/2012/chart" uri="{CE6537A1-D6FC-4f65-9D91-7224C49458BB}"/>
                <c:ext xmlns:c16="http://schemas.microsoft.com/office/drawing/2014/chart" uri="{C3380CC4-5D6E-409C-BE32-E72D297353CC}">
                  <c16:uniqueId val="{00000005-3B7E-4A37-8AFC-611FE961B2B3}"/>
                </c:ext>
              </c:extLst>
            </c:dLbl>
            <c:dLbl>
              <c:idx val="5"/>
              <c:delete val="1"/>
              <c:extLst>
                <c:ext xmlns:c15="http://schemas.microsoft.com/office/drawing/2012/chart" uri="{CE6537A1-D6FC-4f65-9D91-7224C49458BB}"/>
                <c:ext xmlns:c16="http://schemas.microsoft.com/office/drawing/2014/chart" uri="{C3380CC4-5D6E-409C-BE32-E72D297353CC}">
                  <c16:uniqueId val="{00000007-3B7E-4A37-8AFC-611FE961B2B3}"/>
                </c:ext>
              </c:extLst>
            </c:dLbl>
            <c:dLbl>
              <c:idx val="6"/>
              <c:delete val="1"/>
              <c:extLst>
                <c:ext xmlns:c15="http://schemas.microsoft.com/office/drawing/2012/chart" uri="{CE6537A1-D6FC-4f65-9D91-7224C49458BB}"/>
                <c:ext xmlns:c16="http://schemas.microsoft.com/office/drawing/2014/chart" uri="{C3380CC4-5D6E-409C-BE32-E72D297353CC}">
                  <c16:uniqueId val="{00000009-3B7E-4A37-8AFC-611FE961B2B3}"/>
                </c:ext>
              </c:extLst>
            </c:dLbl>
            <c:dLbl>
              <c:idx val="7"/>
              <c:delete val="1"/>
              <c:extLst>
                <c:ext xmlns:c15="http://schemas.microsoft.com/office/drawing/2012/chart" uri="{CE6537A1-D6FC-4f65-9D91-7224C49458BB}"/>
                <c:ext xmlns:c16="http://schemas.microsoft.com/office/drawing/2014/chart" uri="{C3380CC4-5D6E-409C-BE32-E72D297353CC}">
                  <c16:uniqueId val="{0000000B-3B7E-4A37-8AFC-611FE961B2B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B7E-4A37-8AFC-611FE961B2B3}"/>
            </c:ext>
          </c:extLst>
        </c:ser>
        <c:dLbls>
          <c:showLegendKey val="0"/>
          <c:showVal val="0"/>
          <c:showCatName val="0"/>
          <c:showSerName val="0"/>
          <c:showPercent val="0"/>
          <c:showBubbleSize val="0"/>
        </c:dLbls>
        <c:gapWidth val="40"/>
        <c:axId val="1181056728"/>
        <c:axId val="1181051632"/>
      </c:barChart>
      <c:catAx>
        <c:axId val="1181056728"/>
        <c:scaling>
          <c:orientation val="minMax"/>
        </c:scaling>
        <c:delete val="0"/>
        <c:axPos val="b"/>
        <c:numFmt formatCode="General" sourceLinked="1"/>
        <c:majorTickMark val="none"/>
        <c:minorTickMark val="none"/>
        <c:tickLblPos val="none"/>
        <c:spPr>
          <a:ln w="31750">
            <a:solidFill>
              <a:schemeClr val="tx1"/>
            </a:solidFill>
          </a:ln>
        </c:spPr>
        <c:crossAx val="1181051632"/>
        <c:crosses val="autoZero"/>
        <c:auto val="1"/>
        <c:lblAlgn val="ctr"/>
        <c:lblOffset val="0"/>
        <c:noMultiLvlLbl val="0"/>
      </c:catAx>
      <c:valAx>
        <c:axId val="1181051632"/>
        <c:scaling>
          <c:orientation val="minMax"/>
          <c:max val="100"/>
          <c:min val="0"/>
        </c:scaling>
        <c:delete val="1"/>
        <c:axPos val="l"/>
        <c:numFmt formatCode="0.0" sourceLinked="1"/>
        <c:majorTickMark val="out"/>
        <c:minorTickMark val="none"/>
        <c:tickLblPos val="nextTo"/>
        <c:crossAx val="1181056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6423-4757-BD8B-E3BB2D0A40C3}"/>
              </c:ext>
            </c:extLst>
          </c:dPt>
          <c:dPt>
            <c:idx val="2"/>
            <c:invertIfNegative val="0"/>
            <c:bubble3D val="0"/>
            <c:spPr>
              <a:solidFill>
                <a:srgbClr val="87A4D4"/>
              </a:solidFill>
            </c:spPr>
            <c:extLst>
              <c:ext xmlns:c16="http://schemas.microsoft.com/office/drawing/2014/chart" uri="{C3380CC4-5D6E-409C-BE32-E72D297353CC}">
                <c16:uniqueId val="{00000003-6423-4757-BD8B-E3BB2D0A40C3}"/>
              </c:ext>
            </c:extLst>
          </c:dPt>
          <c:dPt>
            <c:idx val="3"/>
            <c:invertIfNegative val="0"/>
            <c:bubble3D val="0"/>
            <c:spPr>
              <a:solidFill>
                <a:srgbClr val="87A4D4"/>
              </a:solidFill>
            </c:spPr>
            <c:extLst>
              <c:ext xmlns:c16="http://schemas.microsoft.com/office/drawing/2014/chart" uri="{C3380CC4-5D6E-409C-BE32-E72D297353CC}">
                <c16:uniqueId val="{00000005-6423-4757-BD8B-E3BB2D0A40C3}"/>
              </c:ext>
            </c:extLst>
          </c:dPt>
          <c:dPt>
            <c:idx val="5"/>
            <c:invertIfNegative val="0"/>
            <c:bubble3D val="0"/>
            <c:spPr>
              <a:solidFill>
                <a:srgbClr val="87A4D4"/>
              </a:solidFill>
            </c:spPr>
            <c:extLst>
              <c:ext xmlns:c16="http://schemas.microsoft.com/office/drawing/2014/chart" uri="{C3380CC4-5D6E-409C-BE32-E72D297353CC}">
                <c16:uniqueId val="{00000007-6423-4757-BD8B-E3BB2D0A40C3}"/>
              </c:ext>
            </c:extLst>
          </c:dPt>
          <c:dPt>
            <c:idx val="6"/>
            <c:invertIfNegative val="0"/>
            <c:bubble3D val="0"/>
            <c:spPr>
              <a:solidFill>
                <a:srgbClr val="87A4D4"/>
              </a:solidFill>
            </c:spPr>
            <c:extLst>
              <c:ext xmlns:c16="http://schemas.microsoft.com/office/drawing/2014/chart" uri="{C3380CC4-5D6E-409C-BE32-E72D297353CC}">
                <c16:uniqueId val="{00000009-6423-4757-BD8B-E3BB2D0A40C3}"/>
              </c:ext>
            </c:extLst>
          </c:dPt>
          <c:dPt>
            <c:idx val="7"/>
            <c:invertIfNegative val="0"/>
            <c:bubble3D val="0"/>
            <c:spPr>
              <a:solidFill>
                <a:srgbClr val="87A4D4"/>
              </a:solidFill>
            </c:spPr>
            <c:extLst>
              <c:ext xmlns:c16="http://schemas.microsoft.com/office/drawing/2014/chart" uri="{C3380CC4-5D6E-409C-BE32-E72D297353CC}">
                <c16:uniqueId val="{0000000B-6423-4757-BD8B-E3BB2D0A40C3}"/>
              </c:ext>
            </c:extLst>
          </c:dPt>
          <c:dPt>
            <c:idx val="8"/>
            <c:invertIfNegative val="0"/>
            <c:bubble3D val="0"/>
            <c:spPr>
              <a:solidFill>
                <a:srgbClr val="FA7800"/>
              </a:solidFill>
            </c:spPr>
            <c:extLst>
              <c:ext xmlns:c16="http://schemas.microsoft.com/office/drawing/2014/chart" uri="{C3380CC4-5D6E-409C-BE32-E72D297353CC}">
                <c16:uniqueId val="{0000000D-6423-4757-BD8B-E3BB2D0A40C3}"/>
              </c:ext>
            </c:extLst>
          </c:dPt>
          <c:dPt>
            <c:idx val="9"/>
            <c:invertIfNegative val="0"/>
            <c:bubble3D val="0"/>
            <c:spPr>
              <a:solidFill>
                <a:srgbClr val="FA7800"/>
              </a:solidFill>
            </c:spPr>
            <c:extLst>
              <c:ext xmlns:c16="http://schemas.microsoft.com/office/drawing/2014/chart" uri="{C3380CC4-5D6E-409C-BE32-E72D297353CC}">
                <c16:uniqueId val="{0000000F-6423-4757-BD8B-E3BB2D0A40C3}"/>
              </c:ext>
            </c:extLst>
          </c:dPt>
          <c:dLbls>
            <c:dLbl>
              <c:idx val="1"/>
              <c:delete val="1"/>
              <c:extLst>
                <c:ext xmlns:c15="http://schemas.microsoft.com/office/drawing/2012/chart" uri="{CE6537A1-D6FC-4f65-9D91-7224C49458BB}"/>
                <c:ext xmlns:c16="http://schemas.microsoft.com/office/drawing/2014/chart" uri="{C3380CC4-5D6E-409C-BE32-E72D297353CC}">
                  <c16:uniqueId val="{00000001-6423-4757-BD8B-E3BB2D0A40C3}"/>
                </c:ext>
              </c:extLst>
            </c:dLbl>
            <c:dLbl>
              <c:idx val="2"/>
              <c:delete val="1"/>
              <c:extLst>
                <c:ext xmlns:c15="http://schemas.microsoft.com/office/drawing/2012/chart" uri="{CE6537A1-D6FC-4f65-9D91-7224C49458BB}"/>
                <c:ext xmlns:c16="http://schemas.microsoft.com/office/drawing/2014/chart" uri="{C3380CC4-5D6E-409C-BE32-E72D297353CC}">
                  <c16:uniqueId val="{00000003-6423-4757-BD8B-E3BB2D0A40C3}"/>
                </c:ext>
              </c:extLst>
            </c:dLbl>
            <c:dLbl>
              <c:idx val="3"/>
              <c:delete val="1"/>
              <c:extLst>
                <c:ext xmlns:c15="http://schemas.microsoft.com/office/drawing/2012/chart" uri="{CE6537A1-D6FC-4f65-9D91-7224C49458BB}"/>
                <c:ext xmlns:c16="http://schemas.microsoft.com/office/drawing/2014/chart" uri="{C3380CC4-5D6E-409C-BE32-E72D297353CC}">
                  <c16:uniqueId val="{00000005-6423-4757-BD8B-E3BB2D0A40C3}"/>
                </c:ext>
              </c:extLst>
            </c:dLbl>
            <c:dLbl>
              <c:idx val="5"/>
              <c:delete val="1"/>
              <c:extLst>
                <c:ext xmlns:c15="http://schemas.microsoft.com/office/drawing/2012/chart" uri="{CE6537A1-D6FC-4f65-9D91-7224C49458BB}"/>
                <c:ext xmlns:c16="http://schemas.microsoft.com/office/drawing/2014/chart" uri="{C3380CC4-5D6E-409C-BE32-E72D297353CC}">
                  <c16:uniqueId val="{00000007-6423-4757-BD8B-E3BB2D0A40C3}"/>
                </c:ext>
              </c:extLst>
            </c:dLbl>
            <c:dLbl>
              <c:idx val="6"/>
              <c:delete val="1"/>
              <c:extLst>
                <c:ext xmlns:c15="http://schemas.microsoft.com/office/drawing/2012/chart" uri="{CE6537A1-D6FC-4f65-9D91-7224C49458BB}"/>
                <c:ext xmlns:c16="http://schemas.microsoft.com/office/drawing/2014/chart" uri="{C3380CC4-5D6E-409C-BE32-E72D297353CC}">
                  <c16:uniqueId val="{00000009-6423-4757-BD8B-E3BB2D0A40C3}"/>
                </c:ext>
              </c:extLst>
            </c:dLbl>
            <c:dLbl>
              <c:idx val="7"/>
              <c:delete val="1"/>
              <c:extLst>
                <c:ext xmlns:c15="http://schemas.microsoft.com/office/drawing/2012/chart" uri="{CE6537A1-D6FC-4f65-9D91-7224C49458BB}"/>
                <c:ext xmlns:c16="http://schemas.microsoft.com/office/drawing/2014/chart" uri="{C3380CC4-5D6E-409C-BE32-E72D297353CC}">
                  <c16:uniqueId val="{0000000B-6423-4757-BD8B-E3BB2D0A40C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6423-4757-BD8B-E3BB2D0A40C3}"/>
            </c:ext>
          </c:extLst>
        </c:ser>
        <c:dLbls>
          <c:showLegendKey val="0"/>
          <c:showVal val="0"/>
          <c:showCatName val="0"/>
          <c:showSerName val="0"/>
          <c:showPercent val="0"/>
          <c:showBubbleSize val="0"/>
        </c:dLbls>
        <c:gapWidth val="40"/>
        <c:axId val="1181052024"/>
        <c:axId val="1181057904"/>
      </c:barChart>
      <c:catAx>
        <c:axId val="1181052024"/>
        <c:scaling>
          <c:orientation val="minMax"/>
        </c:scaling>
        <c:delete val="0"/>
        <c:axPos val="b"/>
        <c:numFmt formatCode="General" sourceLinked="1"/>
        <c:majorTickMark val="none"/>
        <c:minorTickMark val="none"/>
        <c:tickLblPos val="none"/>
        <c:spPr>
          <a:ln w="31750">
            <a:solidFill>
              <a:schemeClr val="tx1"/>
            </a:solidFill>
          </a:ln>
        </c:spPr>
        <c:crossAx val="1181057904"/>
        <c:crosses val="autoZero"/>
        <c:auto val="1"/>
        <c:lblAlgn val="ctr"/>
        <c:lblOffset val="0"/>
        <c:noMultiLvlLbl val="0"/>
      </c:catAx>
      <c:valAx>
        <c:axId val="1181057904"/>
        <c:scaling>
          <c:orientation val="minMax"/>
          <c:max val="100"/>
          <c:min val="0"/>
        </c:scaling>
        <c:delete val="1"/>
        <c:axPos val="l"/>
        <c:numFmt formatCode="0.0" sourceLinked="1"/>
        <c:majorTickMark val="out"/>
        <c:minorTickMark val="none"/>
        <c:tickLblPos val="nextTo"/>
        <c:crossAx val="11810520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203-44AD-BBDF-FD3E4EF3AD99}"/>
              </c:ext>
            </c:extLst>
          </c:dPt>
          <c:dPt>
            <c:idx val="9"/>
            <c:invertIfNegative val="0"/>
            <c:bubble3D val="0"/>
            <c:spPr>
              <a:solidFill>
                <a:srgbClr val="FA7800"/>
              </a:solidFill>
            </c:spPr>
            <c:extLst>
              <c:ext xmlns:c16="http://schemas.microsoft.com/office/drawing/2014/chart" uri="{C3380CC4-5D6E-409C-BE32-E72D297353CC}">
                <c16:uniqueId val="{00000003-C203-44AD-BBDF-FD3E4EF3AD99}"/>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203-44AD-BBDF-FD3E4EF3AD99}"/>
            </c:ext>
          </c:extLst>
        </c:ser>
        <c:dLbls>
          <c:showLegendKey val="0"/>
          <c:showVal val="0"/>
          <c:showCatName val="0"/>
          <c:showSerName val="0"/>
          <c:showPercent val="0"/>
          <c:showBubbleSize val="0"/>
        </c:dLbls>
        <c:gapWidth val="40"/>
        <c:axId val="1181054376"/>
        <c:axId val="1181059472"/>
      </c:barChart>
      <c:catAx>
        <c:axId val="1181054376"/>
        <c:scaling>
          <c:orientation val="minMax"/>
        </c:scaling>
        <c:delete val="0"/>
        <c:axPos val="b"/>
        <c:numFmt formatCode="General" sourceLinked="1"/>
        <c:majorTickMark val="none"/>
        <c:minorTickMark val="none"/>
        <c:tickLblPos val="none"/>
        <c:spPr>
          <a:ln w="31750">
            <a:solidFill>
              <a:schemeClr val="tx1"/>
            </a:solidFill>
          </a:ln>
        </c:spPr>
        <c:crossAx val="1181059472"/>
        <c:crosses val="autoZero"/>
        <c:auto val="1"/>
        <c:lblAlgn val="ctr"/>
        <c:lblOffset val="0"/>
        <c:noMultiLvlLbl val="0"/>
      </c:catAx>
      <c:valAx>
        <c:axId val="1181059472"/>
        <c:scaling>
          <c:orientation val="minMax"/>
          <c:max val="150"/>
          <c:min val="0"/>
        </c:scaling>
        <c:delete val="1"/>
        <c:axPos val="l"/>
        <c:numFmt formatCode="0" sourceLinked="1"/>
        <c:majorTickMark val="out"/>
        <c:minorTickMark val="none"/>
        <c:tickLblPos val="nextTo"/>
        <c:crossAx val="11810543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12EC-4C87-BE9E-5F6CE670363E}"/>
            </c:ext>
          </c:extLst>
        </c:ser>
        <c:dLbls>
          <c:showLegendKey val="0"/>
          <c:showVal val="0"/>
          <c:showCatName val="0"/>
          <c:showSerName val="0"/>
          <c:showPercent val="0"/>
          <c:showBubbleSize val="0"/>
        </c:dLbls>
        <c:gapWidth val="80"/>
        <c:axId val="1181060648"/>
        <c:axId val="1181061040"/>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12EC-4C87-BE9E-5F6CE670363E}"/>
            </c:ext>
          </c:extLst>
        </c:ser>
        <c:dLbls>
          <c:showLegendKey val="0"/>
          <c:showVal val="0"/>
          <c:showCatName val="0"/>
          <c:showSerName val="0"/>
          <c:showPercent val="0"/>
          <c:showBubbleSize val="0"/>
        </c:dLbls>
        <c:marker val="1"/>
        <c:smooth val="0"/>
        <c:axId val="1181060648"/>
        <c:axId val="1181061040"/>
      </c:lineChart>
      <c:catAx>
        <c:axId val="1181060648"/>
        <c:scaling>
          <c:orientation val="minMax"/>
        </c:scaling>
        <c:delete val="0"/>
        <c:axPos val="b"/>
        <c:numFmt formatCode="General" sourceLinked="1"/>
        <c:majorTickMark val="none"/>
        <c:minorTickMark val="none"/>
        <c:tickLblPos val="none"/>
        <c:spPr>
          <a:ln w="31750">
            <a:solidFill>
              <a:schemeClr val="tx1"/>
            </a:solidFill>
          </a:ln>
        </c:spPr>
        <c:crossAx val="1181061040"/>
        <c:crosses val="autoZero"/>
        <c:auto val="1"/>
        <c:lblAlgn val="ctr"/>
        <c:lblOffset val="0"/>
        <c:noMultiLvlLbl val="0"/>
      </c:catAx>
      <c:valAx>
        <c:axId val="1181061040"/>
        <c:scaling>
          <c:orientation val="minMax"/>
          <c:max val="100"/>
          <c:min val="0"/>
        </c:scaling>
        <c:delete val="1"/>
        <c:axPos val="l"/>
        <c:numFmt formatCode="0.0" sourceLinked="1"/>
        <c:majorTickMark val="out"/>
        <c:minorTickMark val="none"/>
        <c:tickLblPos val="nextTo"/>
        <c:crossAx val="118106064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D1E-4421-87ED-C6315A39F8D3}"/>
            </c:ext>
          </c:extLst>
        </c:ser>
        <c:dLbls>
          <c:showLegendKey val="0"/>
          <c:showVal val="0"/>
          <c:showCatName val="0"/>
          <c:showSerName val="0"/>
          <c:showPercent val="0"/>
          <c:showBubbleSize val="0"/>
        </c:dLbls>
        <c:gapWidth val="80"/>
        <c:axId val="1181069664"/>
        <c:axId val="1181064568"/>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4D1E-4421-87ED-C6315A39F8D3}"/>
            </c:ext>
          </c:extLst>
        </c:ser>
        <c:dLbls>
          <c:showLegendKey val="0"/>
          <c:showVal val="0"/>
          <c:showCatName val="0"/>
          <c:showSerName val="0"/>
          <c:showPercent val="0"/>
          <c:showBubbleSize val="0"/>
        </c:dLbls>
        <c:marker val="1"/>
        <c:smooth val="0"/>
        <c:axId val="1181069664"/>
        <c:axId val="1181064568"/>
      </c:lineChart>
      <c:catAx>
        <c:axId val="1181069664"/>
        <c:scaling>
          <c:orientation val="minMax"/>
        </c:scaling>
        <c:delete val="0"/>
        <c:axPos val="b"/>
        <c:numFmt formatCode="General" sourceLinked="1"/>
        <c:majorTickMark val="none"/>
        <c:minorTickMark val="none"/>
        <c:tickLblPos val="none"/>
        <c:spPr>
          <a:ln w="31750">
            <a:solidFill>
              <a:schemeClr val="tx1"/>
            </a:solidFill>
          </a:ln>
        </c:spPr>
        <c:crossAx val="1181064568"/>
        <c:crosses val="autoZero"/>
        <c:auto val="1"/>
        <c:lblAlgn val="ctr"/>
        <c:lblOffset val="0"/>
        <c:noMultiLvlLbl val="0"/>
      </c:catAx>
      <c:valAx>
        <c:axId val="1181064568"/>
        <c:scaling>
          <c:orientation val="minMax"/>
          <c:max val="100"/>
          <c:min val="0"/>
        </c:scaling>
        <c:delete val="1"/>
        <c:axPos val="l"/>
        <c:numFmt formatCode="0.0" sourceLinked="1"/>
        <c:majorTickMark val="out"/>
        <c:minorTickMark val="none"/>
        <c:tickLblPos val="nextTo"/>
        <c:crossAx val="118106966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7B9E-4D73-89F1-100682E37FA9}"/>
            </c:ext>
          </c:extLst>
        </c:ser>
        <c:dLbls>
          <c:showLegendKey val="0"/>
          <c:showVal val="0"/>
          <c:showCatName val="0"/>
          <c:showSerName val="0"/>
          <c:showPercent val="0"/>
          <c:showBubbleSize val="0"/>
        </c:dLbls>
        <c:gapWidth val="180"/>
        <c:axId val="1181068488"/>
        <c:axId val="1181066920"/>
      </c:barChart>
      <c:catAx>
        <c:axId val="1181068488"/>
        <c:scaling>
          <c:orientation val="minMax"/>
        </c:scaling>
        <c:delete val="1"/>
        <c:axPos val="b"/>
        <c:numFmt formatCode="General" sourceLinked="1"/>
        <c:majorTickMark val="none"/>
        <c:minorTickMark val="none"/>
        <c:tickLblPos val="nextTo"/>
        <c:crossAx val="1181066920"/>
        <c:crosses val="autoZero"/>
        <c:auto val="1"/>
        <c:lblAlgn val="ctr"/>
        <c:lblOffset val="0"/>
        <c:noMultiLvlLbl val="0"/>
      </c:catAx>
      <c:valAx>
        <c:axId val="1181066920"/>
        <c:scaling>
          <c:orientation val="minMax"/>
          <c:max val="35"/>
          <c:min val="-15"/>
        </c:scaling>
        <c:delete val="1"/>
        <c:axPos val="l"/>
        <c:numFmt formatCode="General" sourceLinked="1"/>
        <c:majorTickMark val="out"/>
        <c:minorTickMark val="none"/>
        <c:tickLblPos val="nextTo"/>
        <c:crossAx val="11810684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A650-4C03-8E0E-15B26D5DBAD9}"/>
              </c:ext>
            </c:extLst>
          </c:dPt>
          <c:dPt>
            <c:idx val="9"/>
            <c:invertIfNegative val="0"/>
            <c:bubble3D val="0"/>
            <c:extLst>
              <c:ext xmlns:c16="http://schemas.microsoft.com/office/drawing/2014/chart" uri="{C3380CC4-5D6E-409C-BE32-E72D297353CC}">
                <c16:uniqueId val="{00000002-A650-4C03-8E0E-15B26D5DBAD9}"/>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A650-4C03-8E0E-15B26D5DBAD9}"/>
            </c:ext>
          </c:extLst>
        </c:ser>
        <c:dLbls>
          <c:showLegendKey val="0"/>
          <c:showVal val="0"/>
          <c:showCatName val="0"/>
          <c:showSerName val="0"/>
          <c:showPercent val="0"/>
          <c:showBubbleSize val="0"/>
        </c:dLbls>
        <c:gapWidth val="60"/>
        <c:axId val="1181067312"/>
        <c:axId val="1181062216"/>
      </c:barChart>
      <c:catAx>
        <c:axId val="1181067312"/>
        <c:scaling>
          <c:orientation val="minMax"/>
        </c:scaling>
        <c:delete val="0"/>
        <c:axPos val="b"/>
        <c:numFmt formatCode="General" sourceLinked="1"/>
        <c:majorTickMark val="none"/>
        <c:minorTickMark val="none"/>
        <c:tickLblPos val="none"/>
        <c:spPr>
          <a:ln w="31750">
            <a:solidFill>
              <a:schemeClr val="tx1"/>
            </a:solidFill>
          </a:ln>
        </c:spPr>
        <c:crossAx val="1181062216"/>
        <c:crosses val="autoZero"/>
        <c:auto val="1"/>
        <c:lblAlgn val="ctr"/>
        <c:lblOffset val="0"/>
        <c:noMultiLvlLbl val="0"/>
      </c:catAx>
      <c:valAx>
        <c:axId val="1181062216"/>
        <c:scaling>
          <c:orientation val="minMax"/>
          <c:max val="35"/>
          <c:min val="-15"/>
        </c:scaling>
        <c:delete val="1"/>
        <c:axPos val="l"/>
        <c:numFmt formatCode="General" sourceLinked="1"/>
        <c:majorTickMark val="out"/>
        <c:minorTickMark val="none"/>
        <c:tickLblPos val="nextTo"/>
        <c:crossAx val="11810673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064E-4968-8AB0-5A6A41066DBB}"/>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064E-4968-8AB0-5A6A41066DBB}"/>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064E-4968-8AB0-5A6A41066DBB}"/>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064E-4968-8AB0-5A6A41066DBB}"/>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064E-4968-8AB0-5A6A41066DBB}"/>
            </c:ext>
          </c:extLst>
        </c:ser>
        <c:dLbls>
          <c:showLegendKey val="0"/>
          <c:showVal val="0"/>
          <c:showCatName val="0"/>
          <c:showSerName val="0"/>
          <c:showPercent val="0"/>
          <c:showBubbleSize val="0"/>
        </c:dLbls>
        <c:gapWidth val="60"/>
        <c:axId val="1181067704"/>
        <c:axId val="1181072408"/>
      </c:barChart>
      <c:catAx>
        <c:axId val="1181067704"/>
        <c:scaling>
          <c:orientation val="minMax"/>
        </c:scaling>
        <c:delete val="0"/>
        <c:axPos val="b"/>
        <c:numFmt formatCode="General" sourceLinked="1"/>
        <c:majorTickMark val="none"/>
        <c:minorTickMark val="none"/>
        <c:tickLblPos val="nextTo"/>
        <c:spPr>
          <a:ln w="31750">
            <a:solidFill>
              <a:schemeClr val="tx1"/>
            </a:solidFill>
          </a:ln>
        </c:spPr>
        <c:crossAx val="1181072408"/>
        <c:crosses val="autoZero"/>
        <c:auto val="1"/>
        <c:lblAlgn val="ctr"/>
        <c:lblOffset val="0"/>
        <c:noMultiLvlLbl val="0"/>
      </c:catAx>
      <c:valAx>
        <c:axId val="1181072408"/>
        <c:scaling>
          <c:orientation val="minMax"/>
          <c:max val="40"/>
          <c:min val="0"/>
        </c:scaling>
        <c:delete val="1"/>
        <c:axPos val="l"/>
        <c:numFmt formatCode="General" sourceLinked="1"/>
        <c:majorTickMark val="out"/>
        <c:minorTickMark val="none"/>
        <c:tickLblPos val="nextTo"/>
        <c:crossAx val="11810677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FC-42D0-89E0-E00DB3F084AB}"/>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FC-42D0-89E0-E00DB3F084AB}"/>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FC-42D0-89E0-E00DB3F084AB}"/>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FC-42D0-89E0-E00DB3F084AB}"/>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DFC-42D0-89E0-E00DB3F084AB}"/>
            </c:ext>
          </c:extLst>
        </c:ser>
        <c:dLbls>
          <c:showLegendKey val="0"/>
          <c:showVal val="0"/>
          <c:showCatName val="0"/>
          <c:showSerName val="0"/>
          <c:showPercent val="0"/>
          <c:showBubbleSize val="0"/>
        </c:dLbls>
        <c:gapWidth val="60"/>
        <c:axId val="1181068096"/>
        <c:axId val="1181062608"/>
      </c:barChart>
      <c:catAx>
        <c:axId val="1181068096"/>
        <c:scaling>
          <c:orientation val="minMax"/>
        </c:scaling>
        <c:delete val="0"/>
        <c:axPos val="b"/>
        <c:numFmt formatCode="General" sourceLinked="1"/>
        <c:majorTickMark val="none"/>
        <c:minorTickMark val="none"/>
        <c:tickLblPos val="nextTo"/>
        <c:spPr>
          <a:ln w="31750">
            <a:solidFill>
              <a:schemeClr val="tx1"/>
            </a:solidFill>
          </a:ln>
        </c:spPr>
        <c:crossAx val="1181062608"/>
        <c:crosses val="autoZero"/>
        <c:auto val="1"/>
        <c:lblAlgn val="ctr"/>
        <c:lblOffset val="0"/>
        <c:noMultiLvlLbl val="0"/>
      </c:catAx>
      <c:valAx>
        <c:axId val="1181062608"/>
        <c:scaling>
          <c:orientation val="minMax"/>
          <c:max val="20"/>
          <c:min val="0"/>
        </c:scaling>
        <c:delete val="1"/>
        <c:axPos val="l"/>
        <c:numFmt formatCode="General" sourceLinked="1"/>
        <c:majorTickMark val="out"/>
        <c:minorTickMark val="none"/>
        <c:tickLblPos val="nextTo"/>
        <c:crossAx val="11810680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4F97-4698-B644-29B6B05E9071}"/>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4F97-4698-B644-29B6B05E9071}"/>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4F97-4698-B644-29B6B05E9071}"/>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4F97-4698-B644-29B6B05E9071}"/>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4F97-4698-B644-29B6B05E9071}"/>
            </c:ext>
          </c:extLst>
        </c:ser>
        <c:dLbls>
          <c:showLegendKey val="0"/>
          <c:showVal val="0"/>
          <c:showCatName val="0"/>
          <c:showSerName val="0"/>
          <c:showPercent val="0"/>
          <c:showBubbleSize val="0"/>
        </c:dLbls>
        <c:gapWidth val="60"/>
        <c:axId val="1181068880"/>
        <c:axId val="1181071232"/>
      </c:barChart>
      <c:catAx>
        <c:axId val="1181068880"/>
        <c:scaling>
          <c:orientation val="minMax"/>
        </c:scaling>
        <c:delete val="0"/>
        <c:axPos val="b"/>
        <c:numFmt formatCode="General" sourceLinked="1"/>
        <c:majorTickMark val="none"/>
        <c:minorTickMark val="none"/>
        <c:tickLblPos val="nextTo"/>
        <c:spPr>
          <a:ln w="31750">
            <a:solidFill>
              <a:schemeClr val="tx1"/>
            </a:solidFill>
          </a:ln>
        </c:spPr>
        <c:crossAx val="1181071232"/>
        <c:crosses val="autoZero"/>
        <c:auto val="1"/>
        <c:lblAlgn val="ctr"/>
        <c:lblOffset val="0"/>
        <c:noMultiLvlLbl val="0"/>
      </c:catAx>
      <c:valAx>
        <c:axId val="1181071232"/>
        <c:scaling>
          <c:orientation val="minMax"/>
          <c:max val="80"/>
          <c:min val="0"/>
        </c:scaling>
        <c:delete val="1"/>
        <c:axPos val="l"/>
        <c:numFmt formatCode="General" sourceLinked="1"/>
        <c:majorTickMark val="out"/>
        <c:minorTickMark val="none"/>
        <c:tickLblPos val="nextTo"/>
        <c:crossAx val="1181068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E6CC-4241-B57E-EFC414EE1E9A}"/>
              </c:ext>
            </c:extLst>
          </c:dPt>
          <c:dPt>
            <c:idx val="4"/>
            <c:invertIfNegative val="0"/>
            <c:bubble3D val="0"/>
            <c:spPr>
              <a:solidFill>
                <a:srgbClr val="3562A8"/>
              </a:solidFill>
            </c:spPr>
            <c:extLst>
              <c:ext xmlns:c16="http://schemas.microsoft.com/office/drawing/2014/chart" uri="{C3380CC4-5D6E-409C-BE32-E72D297353CC}">
                <c16:uniqueId val="{00000003-E6CC-4241-B57E-EFC414EE1E9A}"/>
              </c:ext>
            </c:extLst>
          </c:dPt>
          <c:dPt>
            <c:idx val="8"/>
            <c:invertIfNegative val="0"/>
            <c:bubble3D val="0"/>
            <c:spPr>
              <a:solidFill>
                <a:srgbClr val="FA7800"/>
              </a:solidFill>
            </c:spPr>
            <c:extLst>
              <c:ext xmlns:c16="http://schemas.microsoft.com/office/drawing/2014/chart" uri="{C3380CC4-5D6E-409C-BE32-E72D297353CC}">
                <c16:uniqueId val="{00000005-E6CC-4241-B57E-EFC414EE1E9A}"/>
              </c:ext>
            </c:extLst>
          </c:dPt>
          <c:dPt>
            <c:idx val="9"/>
            <c:invertIfNegative val="0"/>
            <c:bubble3D val="0"/>
            <c:extLst>
              <c:ext xmlns:c16="http://schemas.microsoft.com/office/drawing/2014/chart" uri="{C3380CC4-5D6E-409C-BE32-E72D297353CC}">
                <c16:uniqueId val="{00000006-E6CC-4241-B57E-EFC414EE1E9A}"/>
              </c:ext>
            </c:extLst>
          </c:dPt>
          <c:dLbls>
            <c:dLbl>
              <c:idx val="1"/>
              <c:delete val="1"/>
              <c:extLst>
                <c:ext xmlns:c15="http://schemas.microsoft.com/office/drawing/2012/chart" uri="{CE6537A1-D6FC-4f65-9D91-7224C49458BB}"/>
                <c:ext xmlns:c16="http://schemas.microsoft.com/office/drawing/2014/chart" uri="{C3380CC4-5D6E-409C-BE32-E72D297353CC}">
                  <c16:uniqueId val="{00000007-E6CC-4241-B57E-EFC414EE1E9A}"/>
                </c:ext>
              </c:extLst>
            </c:dLbl>
            <c:dLbl>
              <c:idx val="2"/>
              <c:delete val="1"/>
              <c:extLst>
                <c:ext xmlns:c15="http://schemas.microsoft.com/office/drawing/2012/chart" uri="{CE6537A1-D6FC-4f65-9D91-7224C49458BB}"/>
                <c:ext xmlns:c16="http://schemas.microsoft.com/office/drawing/2014/chart" uri="{C3380CC4-5D6E-409C-BE32-E72D297353CC}">
                  <c16:uniqueId val="{00000008-E6CC-4241-B57E-EFC414EE1E9A}"/>
                </c:ext>
              </c:extLst>
            </c:dLbl>
            <c:dLbl>
              <c:idx val="3"/>
              <c:delete val="1"/>
              <c:extLst>
                <c:ext xmlns:c15="http://schemas.microsoft.com/office/drawing/2012/chart" uri="{CE6537A1-D6FC-4f65-9D91-7224C49458BB}"/>
                <c:ext xmlns:c16="http://schemas.microsoft.com/office/drawing/2014/chart" uri="{C3380CC4-5D6E-409C-BE32-E72D297353CC}">
                  <c16:uniqueId val="{00000009-E6CC-4241-B57E-EFC414EE1E9A}"/>
                </c:ext>
              </c:extLst>
            </c:dLbl>
            <c:dLbl>
              <c:idx val="5"/>
              <c:delete val="1"/>
              <c:extLst>
                <c:ext xmlns:c15="http://schemas.microsoft.com/office/drawing/2012/chart" uri="{CE6537A1-D6FC-4f65-9D91-7224C49458BB}"/>
                <c:ext xmlns:c16="http://schemas.microsoft.com/office/drawing/2014/chart" uri="{C3380CC4-5D6E-409C-BE32-E72D297353CC}">
                  <c16:uniqueId val="{0000000A-E6CC-4241-B57E-EFC414EE1E9A}"/>
                </c:ext>
              </c:extLst>
            </c:dLbl>
            <c:dLbl>
              <c:idx val="6"/>
              <c:delete val="1"/>
              <c:extLst>
                <c:ext xmlns:c15="http://schemas.microsoft.com/office/drawing/2012/chart" uri="{CE6537A1-D6FC-4f65-9D91-7224C49458BB}"/>
                <c:ext xmlns:c16="http://schemas.microsoft.com/office/drawing/2014/chart" uri="{C3380CC4-5D6E-409C-BE32-E72D297353CC}">
                  <c16:uniqueId val="{0000000B-E6CC-4241-B57E-EFC414EE1E9A}"/>
                </c:ext>
              </c:extLst>
            </c:dLbl>
            <c:dLbl>
              <c:idx val="7"/>
              <c:delete val="1"/>
              <c:extLst>
                <c:ext xmlns:c15="http://schemas.microsoft.com/office/drawing/2012/chart" uri="{CE6537A1-D6FC-4f65-9D91-7224C49458BB}"/>
                <c:ext xmlns:c16="http://schemas.microsoft.com/office/drawing/2014/chart" uri="{C3380CC4-5D6E-409C-BE32-E72D297353CC}">
                  <c16:uniqueId val="{0000000C-E6CC-4241-B57E-EFC414EE1E9A}"/>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E6CC-4241-B57E-EFC414EE1E9A}"/>
            </c:ext>
          </c:extLst>
        </c:ser>
        <c:dLbls>
          <c:showLegendKey val="0"/>
          <c:showVal val="1"/>
          <c:showCatName val="0"/>
          <c:showSerName val="0"/>
          <c:showPercent val="0"/>
          <c:showBubbleSize val="0"/>
        </c:dLbls>
        <c:gapWidth val="40"/>
        <c:axId val="1177747920"/>
        <c:axId val="1177745176"/>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E6CC-4241-B57E-EFC414EE1E9A}"/>
            </c:ext>
          </c:extLst>
        </c:ser>
        <c:dLbls>
          <c:showLegendKey val="0"/>
          <c:showVal val="1"/>
          <c:showCatName val="0"/>
          <c:showSerName val="0"/>
          <c:showPercent val="0"/>
          <c:showBubbleSize val="0"/>
        </c:dLbls>
        <c:marker val="1"/>
        <c:smooth val="0"/>
        <c:axId val="1177738512"/>
        <c:axId val="1177743608"/>
      </c:lineChart>
      <c:catAx>
        <c:axId val="1177747920"/>
        <c:scaling>
          <c:orientation val="minMax"/>
        </c:scaling>
        <c:delete val="0"/>
        <c:axPos val="b"/>
        <c:numFmt formatCode="General" sourceLinked="1"/>
        <c:majorTickMark val="none"/>
        <c:minorTickMark val="none"/>
        <c:tickLblPos val="none"/>
        <c:spPr>
          <a:ln w="31750">
            <a:solidFill>
              <a:schemeClr val="tx1"/>
            </a:solidFill>
          </a:ln>
        </c:spPr>
        <c:crossAx val="1177745176"/>
        <c:crosses val="autoZero"/>
        <c:auto val="1"/>
        <c:lblAlgn val="ctr"/>
        <c:lblOffset val="0"/>
        <c:noMultiLvlLbl val="0"/>
      </c:catAx>
      <c:valAx>
        <c:axId val="1177745176"/>
        <c:scaling>
          <c:orientation val="minMax"/>
          <c:max val="25"/>
          <c:min val="0"/>
        </c:scaling>
        <c:delete val="0"/>
        <c:axPos val="l"/>
        <c:numFmt formatCode="0.0" sourceLinked="1"/>
        <c:majorTickMark val="none"/>
        <c:minorTickMark val="none"/>
        <c:tickLblPos val="none"/>
        <c:spPr>
          <a:ln>
            <a:noFill/>
          </a:ln>
        </c:spPr>
        <c:crossAx val="1177747920"/>
        <c:crosses val="autoZero"/>
        <c:crossBetween val="between"/>
      </c:valAx>
      <c:valAx>
        <c:axId val="1177743608"/>
        <c:scaling>
          <c:orientation val="minMax"/>
          <c:max val="25"/>
        </c:scaling>
        <c:delete val="0"/>
        <c:axPos val="r"/>
        <c:numFmt formatCode="0.0" sourceLinked="1"/>
        <c:majorTickMark val="out"/>
        <c:minorTickMark val="none"/>
        <c:tickLblPos val="none"/>
        <c:spPr>
          <a:ln>
            <a:noFill/>
          </a:ln>
        </c:spPr>
        <c:crossAx val="1177738512"/>
        <c:crosses val="max"/>
        <c:crossBetween val="between"/>
      </c:valAx>
      <c:catAx>
        <c:axId val="1177738512"/>
        <c:scaling>
          <c:orientation val="minMax"/>
        </c:scaling>
        <c:delete val="1"/>
        <c:axPos val="b"/>
        <c:numFmt formatCode="General" sourceLinked="1"/>
        <c:majorTickMark val="out"/>
        <c:minorTickMark val="none"/>
        <c:tickLblPos val="nextTo"/>
        <c:crossAx val="11777436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95A-421F-BA80-B9256ECEF873}"/>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95A-421F-BA80-B9256ECEF873}"/>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95A-421F-BA80-B9256ECEF873}"/>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95A-421F-BA80-B9256ECEF873}"/>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F95A-421F-BA80-B9256ECEF873}"/>
            </c:ext>
          </c:extLst>
        </c:ser>
        <c:dLbls>
          <c:showLegendKey val="0"/>
          <c:showVal val="0"/>
          <c:showCatName val="0"/>
          <c:showSerName val="0"/>
          <c:showPercent val="0"/>
          <c:showBubbleSize val="0"/>
        </c:dLbls>
        <c:gapWidth val="60"/>
        <c:axId val="1181066136"/>
        <c:axId val="1181072016"/>
      </c:barChart>
      <c:catAx>
        <c:axId val="1181066136"/>
        <c:scaling>
          <c:orientation val="minMax"/>
        </c:scaling>
        <c:delete val="0"/>
        <c:axPos val="b"/>
        <c:numFmt formatCode="General" sourceLinked="1"/>
        <c:majorTickMark val="none"/>
        <c:minorTickMark val="none"/>
        <c:tickLblPos val="nextTo"/>
        <c:spPr>
          <a:ln w="31750">
            <a:solidFill>
              <a:schemeClr val="tx1"/>
            </a:solidFill>
          </a:ln>
        </c:spPr>
        <c:crossAx val="1181072016"/>
        <c:crosses val="autoZero"/>
        <c:auto val="1"/>
        <c:lblAlgn val="ctr"/>
        <c:lblOffset val="0"/>
        <c:noMultiLvlLbl val="0"/>
      </c:catAx>
      <c:valAx>
        <c:axId val="1181072016"/>
        <c:scaling>
          <c:orientation val="minMax"/>
          <c:max val="40"/>
          <c:min val="0"/>
        </c:scaling>
        <c:delete val="1"/>
        <c:axPos val="l"/>
        <c:numFmt formatCode="0.0" sourceLinked="1"/>
        <c:majorTickMark val="out"/>
        <c:minorTickMark val="none"/>
        <c:tickLblPos val="nextTo"/>
        <c:crossAx val="11810661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367D-4118-90E8-5913D4E0300F}"/>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367D-4118-90E8-5913D4E0300F}"/>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367D-4118-90E8-5913D4E0300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367D-4118-90E8-5913D4E0300F}"/>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367D-4118-90E8-5913D4E0300F}"/>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367D-4118-90E8-5913D4E0300F}"/>
              </c:ext>
            </c:extLst>
          </c:dPt>
          <c:dPt>
            <c:idx val="4"/>
            <c:invertIfNegative val="0"/>
            <c:bubble3D val="0"/>
            <c:spPr>
              <a:noFill/>
              <a:ln w="19050">
                <a:solidFill>
                  <a:srgbClr val="FA7800"/>
                </a:solidFill>
              </a:ln>
            </c:spPr>
            <c:extLst>
              <c:ext xmlns:c16="http://schemas.microsoft.com/office/drawing/2014/chart" uri="{C3380CC4-5D6E-409C-BE32-E72D297353CC}">
                <c16:uniqueId val="{0000000C-367D-4118-90E8-5913D4E0300F}"/>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367D-4118-90E8-5913D4E0300F}"/>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367D-4118-90E8-5913D4E0300F}"/>
            </c:ext>
          </c:extLst>
        </c:ser>
        <c:dLbls>
          <c:showLegendKey val="0"/>
          <c:showVal val="0"/>
          <c:showCatName val="0"/>
          <c:showSerName val="0"/>
          <c:showPercent val="0"/>
          <c:showBubbleSize val="0"/>
        </c:dLbls>
        <c:gapWidth val="60"/>
        <c:overlap val="100"/>
        <c:axId val="1181072800"/>
        <c:axId val="1181073192"/>
      </c:barChart>
      <c:catAx>
        <c:axId val="1181072800"/>
        <c:scaling>
          <c:orientation val="minMax"/>
        </c:scaling>
        <c:delete val="0"/>
        <c:axPos val="b"/>
        <c:numFmt formatCode="General" sourceLinked="1"/>
        <c:majorTickMark val="none"/>
        <c:minorTickMark val="none"/>
        <c:tickLblPos val="nextTo"/>
        <c:spPr>
          <a:ln w="31750">
            <a:solidFill>
              <a:schemeClr val="tx1"/>
            </a:solidFill>
          </a:ln>
        </c:spPr>
        <c:crossAx val="1181073192"/>
        <c:crosses val="autoZero"/>
        <c:auto val="1"/>
        <c:lblAlgn val="ctr"/>
        <c:lblOffset val="0"/>
        <c:noMultiLvlLbl val="0"/>
      </c:catAx>
      <c:valAx>
        <c:axId val="1181073192"/>
        <c:scaling>
          <c:orientation val="minMax"/>
          <c:max val="140"/>
          <c:min val="0"/>
        </c:scaling>
        <c:delete val="1"/>
        <c:axPos val="l"/>
        <c:numFmt formatCode="0" sourceLinked="1"/>
        <c:majorTickMark val="out"/>
        <c:minorTickMark val="none"/>
        <c:tickLblPos val="nextTo"/>
        <c:crossAx val="118107280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88B-492D-A703-4A9361E7A9B2}"/>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88B-492D-A703-4A9361E7A9B2}"/>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88B-492D-A703-4A9361E7A9B2}"/>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88B-492D-A703-4A9361E7A9B2}"/>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88B-492D-A703-4A9361E7A9B2}"/>
            </c:ext>
          </c:extLst>
        </c:ser>
        <c:dLbls>
          <c:showLegendKey val="0"/>
          <c:showVal val="0"/>
          <c:showCatName val="0"/>
          <c:showSerName val="0"/>
          <c:showPercent val="0"/>
          <c:showBubbleSize val="0"/>
        </c:dLbls>
        <c:gapWidth val="60"/>
        <c:axId val="1181073976"/>
        <c:axId val="1181074368"/>
      </c:barChart>
      <c:catAx>
        <c:axId val="1181073976"/>
        <c:scaling>
          <c:orientation val="minMax"/>
        </c:scaling>
        <c:delete val="0"/>
        <c:axPos val="b"/>
        <c:numFmt formatCode="General" sourceLinked="1"/>
        <c:majorTickMark val="none"/>
        <c:minorTickMark val="none"/>
        <c:tickLblPos val="nextTo"/>
        <c:spPr>
          <a:ln w="31750">
            <a:solidFill>
              <a:schemeClr val="tx1"/>
            </a:solidFill>
          </a:ln>
        </c:spPr>
        <c:crossAx val="1181074368"/>
        <c:crosses val="autoZero"/>
        <c:auto val="1"/>
        <c:lblAlgn val="ctr"/>
        <c:lblOffset val="0"/>
        <c:noMultiLvlLbl val="0"/>
      </c:catAx>
      <c:valAx>
        <c:axId val="1181074368"/>
        <c:scaling>
          <c:orientation val="minMax"/>
          <c:max val="70"/>
          <c:min val="0"/>
        </c:scaling>
        <c:delete val="1"/>
        <c:axPos val="l"/>
        <c:numFmt formatCode="0.0" sourceLinked="1"/>
        <c:majorTickMark val="out"/>
        <c:minorTickMark val="none"/>
        <c:tickLblPos val="nextTo"/>
        <c:crossAx val="11810739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E009-499B-8B6B-D5FE2A36A819}"/>
              </c:ext>
            </c:extLst>
          </c:dPt>
          <c:dPt>
            <c:idx val="4"/>
            <c:invertIfNegative val="0"/>
            <c:bubble3D val="0"/>
            <c:spPr>
              <a:solidFill>
                <a:srgbClr val="3562A8"/>
              </a:solidFill>
            </c:spPr>
            <c:extLst>
              <c:ext xmlns:c16="http://schemas.microsoft.com/office/drawing/2014/chart" uri="{C3380CC4-5D6E-409C-BE32-E72D297353CC}">
                <c16:uniqueId val="{00000003-E009-499B-8B6B-D5FE2A36A819}"/>
              </c:ext>
            </c:extLst>
          </c:dPt>
          <c:dPt>
            <c:idx val="8"/>
            <c:invertIfNegative val="0"/>
            <c:bubble3D val="0"/>
            <c:spPr>
              <a:solidFill>
                <a:srgbClr val="FA7800"/>
              </a:solidFill>
            </c:spPr>
            <c:extLst>
              <c:ext xmlns:c16="http://schemas.microsoft.com/office/drawing/2014/chart" uri="{C3380CC4-5D6E-409C-BE32-E72D297353CC}">
                <c16:uniqueId val="{00000005-E009-499B-8B6B-D5FE2A36A819}"/>
              </c:ext>
            </c:extLst>
          </c:dPt>
          <c:dPt>
            <c:idx val="9"/>
            <c:invertIfNegative val="0"/>
            <c:bubble3D val="0"/>
            <c:extLst>
              <c:ext xmlns:c16="http://schemas.microsoft.com/office/drawing/2014/chart" uri="{C3380CC4-5D6E-409C-BE32-E72D297353CC}">
                <c16:uniqueId val="{00000006-E009-499B-8B6B-D5FE2A36A819}"/>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E009-499B-8B6B-D5FE2A36A819}"/>
            </c:ext>
          </c:extLst>
        </c:ser>
        <c:dLbls>
          <c:showLegendKey val="0"/>
          <c:showVal val="0"/>
          <c:showCatName val="0"/>
          <c:showSerName val="0"/>
          <c:showPercent val="0"/>
          <c:showBubbleSize val="0"/>
        </c:dLbls>
        <c:gapWidth val="50"/>
        <c:axId val="1181063784"/>
        <c:axId val="1181065352"/>
      </c:barChart>
      <c:catAx>
        <c:axId val="1181063784"/>
        <c:scaling>
          <c:orientation val="minMax"/>
        </c:scaling>
        <c:delete val="0"/>
        <c:axPos val="b"/>
        <c:numFmt formatCode="General" sourceLinked="1"/>
        <c:majorTickMark val="none"/>
        <c:minorTickMark val="none"/>
        <c:tickLblPos val="none"/>
        <c:spPr>
          <a:ln w="31750">
            <a:solidFill>
              <a:schemeClr val="tx1"/>
            </a:solidFill>
          </a:ln>
        </c:spPr>
        <c:crossAx val="1181065352"/>
        <c:crosses val="autoZero"/>
        <c:auto val="1"/>
        <c:lblAlgn val="ctr"/>
        <c:lblOffset val="0"/>
        <c:noMultiLvlLbl val="0"/>
      </c:catAx>
      <c:valAx>
        <c:axId val="1181065352"/>
        <c:scaling>
          <c:orientation val="minMax"/>
          <c:max val="100"/>
          <c:min val="0"/>
        </c:scaling>
        <c:delete val="1"/>
        <c:axPos val="l"/>
        <c:numFmt formatCode="0.0" sourceLinked="1"/>
        <c:majorTickMark val="out"/>
        <c:minorTickMark val="none"/>
        <c:tickLblPos val="nextTo"/>
        <c:crossAx val="11810637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8C7-48CD-A22D-C84E6936DCB9}"/>
              </c:ext>
            </c:extLst>
          </c:dPt>
          <c:dPt>
            <c:idx val="4"/>
            <c:invertIfNegative val="0"/>
            <c:bubble3D val="0"/>
            <c:spPr>
              <a:solidFill>
                <a:srgbClr val="3562A8"/>
              </a:solidFill>
            </c:spPr>
            <c:extLst>
              <c:ext xmlns:c16="http://schemas.microsoft.com/office/drawing/2014/chart" uri="{C3380CC4-5D6E-409C-BE32-E72D297353CC}">
                <c16:uniqueId val="{00000003-88C7-48CD-A22D-C84E6936DCB9}"/>
              </c:ext>
            </c:extLst>
          </c:dPt>
          <c:dPt>
            <c:idx val="8"/>
            <c:invertIfNegative val="0"/>
            <c:bubble3D val="0"/>
            <c:spPr>
              <a:solidFill>
                <a:srgbClr val="FA7800"/>
              </a:solidFill>
            </c:spPr>
            <c:extLst>
              <c:ext xmlns:c16="http://schemas.microsoft.com/office/drawing/2014/chart" uri="{C3380CC4-5D6E-409C-BE32-E72D297353CC}">
                <c16:uniqueId val="{00000005-88C7-48CD-A22D-C84E6936DCB9}"/>
              </c:ext>
            </c:extLst>
          </c:dPt>
          <c:dPt>
            <c:idx val="9"/>
            <c:invertIfNegative val="0"/>
            <c:bubble3D val="0"/>
            <c:extLst>
              <c:ext xmlns:c16="http://schemas.microsoft.com/office/drawing/2014/chart" uri="{C3380CC4-5D6E-409C-BE32-E72D297353CC}">
                <c16:uniqueId val="{00000006-88C7-48CD-A22D-C84E6936DCB9}"/>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88C7-48CD-A22D-C84E6936DCB9}"/>
            </c:ext>
          </c:extLst>
        </c:ser>
        <c:dLbls>
          <c:showLegendKey val="0"/>
          <c:showVal val="0"/>
          <c:showCatName val="0"/>
          <c:showSerName val="0"/>
          <c:showPercent val="0"/>
          <c:showBubbleSize val="0"/>
        </c:dLbls>
        <c:gapWidth val="40"/>
        <c:axId val="1181064960"/>
        <c:axId val="1181075936"/>
      </c:barChart>
      <c:catAx>
        <c:axId val="1181064960"/>
        <c:scaling>
          <c:orientation val="minMax"/>
        </c:scaling>
        <c:delete val="0"/>
        <c:axPos val="b"/>
        <c:numFmt formatCode="General" sourceLinked="1"/>
        <c:majorTickMark val="none"/>
        <c:minorTickMark val="none"/>
        <c:tickLblPos val="none"/>
        <c:spPr>
          <a:ln w="31750">
            <a:solidFill>
              <a:schemeClr val="tx1"/>
            </a:solidFill>
          </a:ln>
        </c:spPr>
        <c:crossAx val="1181075936"/>
        <c:crosses val="autoZero"/>
        <c:auto val="1"/>
        <c:lblAlgn val="ctr"/>
        <c:lblOffset val="0"/>
        <c:noMultiLvlLbl val="0"/>
      </c:catAx>
      <c:valAx>
        <c:axId val="1181075936"/>
        <c:scaling>
          <c:orientation val="minMax"/>
          <c:max val="10"/>
          <c:min val="0"/>
        </c:scaling>
        <c:delete val="1"/>
        <c:axPos val="l"/>
        <c:numFmt formatCode="0.0" sourceLinked="1"/>
        <c:majorTickMark val="out"/>
        <c:minorTickMark val="none"/>
        <c:tickLblPos val="nextTo"/>
        <c:crossAx val="1181064960"/>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3D5C-4861-B85E-878AA2FABD4A}"/>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3D5C-4861-B85E-878AA2FABD4A}"/>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3D5C-4861-B85E-878AA2FABD4A}"/>
              </c:ext>
            </c:extLst>
          </c:dPt>
          <c:dPt>
            <c:idx val="4"/>
            <c:invertIfNegative val="0"/>
            <c:bubble3D val="0"/>
            <c:extLst>
              <c:ext xmlns:c16="http://schemas.microsoft.com/office/drawing/2014/chart" uri="{C3380CC4-5D6E-409C-BE32-E72D297353CC}">
                <c16:uniqueId val="{00000006-3D5C-4861-B85E-878AA2FABD4A}"/>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3D5C-4861-B85E-878AA2FABD4A}"/>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3D5C-4861-B85E-878AA2FABD4A}"/>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3D5C-4861-B85E-878AA2FABD4A}"/>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3D5C-4861-B85E-878AA2FABD4A}"/>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3D5C-4861-B85E-878AA2FABD4A}"/>
              </c:ext>
            </c:extLst>
          </c:dPt>
          <c:dLbls>
            <c:dLbl>
              <c:idx val="0"/>
              <c:delete val="1"/>
              <c:extLst>
                <c:ext xmlns:c15="http://schemas.microsoft.com/office/drawing/2012/chart" uri="{CE6537A1-D6FC-4f65-9D91-7224C49458BB}"/>
                <c:ext xmlns:c16="http://schemas.microsoft.com/office/drawing/2014/chart" uri="{C3380CC4-5D6E-409C-BE32-E72D297353CC}">
                  <c16:uniqueId val="{00000011-3D5C-4861-B85E-878AA2FABD4A}"/>
                </c:ext>
              </c:extLst>
            </c:dLbl>
            <c:dLbl>
              <c:idx val="1"/>
              <c:delete val="1"/>
              <c:extLst>
                <c:ext xmlns:c15="http://schemas.microsoft.com/office/drawing/2012/chart" uri="{CE6537A1-D6FC-4f65-9D91-7224C49458BB}"/>
                <c:ext xmlns:c16="http://schemas.microsoft.com/office/drawing/2014/chart" uri="{C3380CC4-5D6E-409C-BE32-E72D297353CC}">
                  <c16:uniqueId val="{00000001-3D5C-4861-B85E-878AA2FABD4A}"/>
                </c:ext>
              </c:extLst>
            </c:dLbl>
            <c:dLbl>
              <c:idx val="2"/>
              <c:delete val="1"/>
              <c:extLst>
                <c:ext xmlns:c15="http://schemas.microsoft.com/office/drawing/2012/chart" uri="{CE6537A1-D6FC-4f65-9D91-7224C49458BB}"/>
                <c:ext xmlns:c16="http://schemas.microsoft.com/office/drawing/2014/chart" uri="{C3380CC4-5D6E-409C-BE32-E72D297353CC}">
                  <c16:uniqueId val="{00000003-3D5C-4861-B85E-878AA2FABD4A}"/>
                </c:ext>
              </c:extLst>
            </c:dLbl>
            <c:dLbl>
              <c:idx val="3"/>
              <c:delete val="1"/>
              <c:extLst>
                <c:ext xmlns:c15="http://schemas.microsoft.com/office/drawing/2012/chart" uri="{CE6537A1-D6FC-4f65-9D91-7224C49458BB}"/>
                <c:ext xmlns:c16="http://schemas.microsoft.com/office/drawing/2014/chart" uri="{C3380CC4-5D6E-409C-BE32-E72D297353CC}">
                  <c16:uniqueId val="{00000005-3D5C-4861-B85E-878AA2FABD4A}"/>
                </c:ext>
              </c:extLst>
            </c:dLbl>
            <c:dLbl>
              <c:idx val="5"/>
              <c:delete val="1"/>
              <c:extLst>
                <c:ext xmlns:c15="http://schemas.microsoft.com/office/drawing/2012/chart" uri="{CE6537A1-D6FC-4f65-9D91-7224C49458BB}"/>
                <c:ext xmlns:c16="http://schemas.microsoft.com/office/drawing/2014/chart" uri="{C3380CC4-5D6E-409C-BE32-E72D297353CC}">
                  <c16:uniqueId val="{00000008-3D5C-4861-B85E-878AA2FABD4A}"/>
                </c:ext>
              </c:extLst>
            </c:dLbl>
            <c:dLbl>
              <c:idx val="6"/>
              <c:delete val="1"/>
              <c:extLst>
                <c:ext xmlns:c15="http://schemas.microsoft.com/office/drawing/2012/chart" uri="{CE6537A1-D6FC-4f65-9D91-7224C49458BB}"/>
                <c:ext xmlns:c16="http://schemas.microsoft.com/office/drawing/2014/chart" uri="{C3380CC4-5D6E-409C-BE32-E72D297353CC}">
                  <c16:uniqueId val="{0000000A-3D5C-4861-B85E-878AA2FABD4A}"/>
                </c:ext>
              </c:extLst>
            </c:dLbl>
            <c:dLbl>
              <c:idx val="7"/>
              <c:delete val="1"/>
              <c:extLst>
                <c:ext xmlns:c15="http://schemas.microsoft.com/office/drawing/2012/chart" uri="{CE6537A1-D6FC-4f65-9D91-7224C49458BB}"/>
                <c:ext xmlns:c16="http://schemas.microsoft.com/office/drawing/2014/chart" uri="{C3380CC4-5D6E-409C-BE32-E72D297353CC}">
                  <c16:uniqueId val="{0000000C-3D5C-4861-B85E-878AA2FABD4A}"/>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3D5C-4861-B85E-878AA2FABD4A}"/>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3D5C-4861-B85E-878AA2FABD4A}"/>
              </c:ext>
            </c:extLst>
          </c:dPt>
          <c:dPt>
            <c:idx val="3"/>
            <c:invertIfNegative val="0"/>
            <c:bubble3D val="0"/>
            <c:spPr>
              <a:noFill/>
              <a:ln w="19050">
                <a:solidFill>
                  <a:srgbClr val="87A4D4"/>
                </a:solidFill>
              </a:ln>
            </c:spPr>
            <c:extLst>
              <c:ext xmlns:c16="http://schemas.microsoft.com/office/drawing/2014/chart" uri="{C3380CC4-5D6E-409C-BE32-E72D297353CC}">
                <c16:uniqueId val="{00000016-3D5C-4861-B85E-878AA2FABD4A}"/>
              </c:ext>
            </c:extLst>
          </c:dPt>
          <c:dPt>
            <c:idx val="4"/>
            <c:invertIfNegative val="0"/>
            <c:bubble3D val="0"/>
            <c:extLst>
              <c:ext xmlns:c16="http://schemas.microsoft.com/office/drawing/2014/chart" uri="{C3380CC4-5D6E-409C-BE32-E72D297353CC}">
                <c16:uniqueId val="{00000017-3D5C-4861-B85E-878AA2FABD4A}"/>
              </c:ext>
            </c:extLst>
          </c:dPt>
          <c:dPt>
            <c:idx val="5"/>
            <c:invertIfNegative val="0"/>
            <c:bubble3D val="0"/>
            <c:spPr>
              <a:noFill/>
              <a:ln w="19050">
                <a:solidFill>
                  <a:srgbClr val="87A4D4"/>
                </a:solidFill>
              </a:ln>
            </c:spPr>
            <c:extLst>
              <c:ext xmlns:c16="http://schemas.microsoft.com/office/drawing/2014/chart" uri="{C3380CC4-5D6E-409C-BE32-E72D297353CC}">
                <c16:uniqueId val="{00000019-3D5C-4861-B85E-878AA2FABD4A}"/>
              </c:ext>
            </c:extLst>
          </c:dPt>
          <c:dPt>
            <c:idx val="6"/>
            <c:invertIfNegative val="0"/>
            <c:bubble3D val="0"/>
            <c:spPr>
              <a:noFill/>
              <a:ln w="19050">
                <a:solidFill>
                  <a:srgbClr val="87A4D4"/>
                </a:solidFill>
              </a:ln>
            </c:spPr>
            <c:extLst>
              <c:ext xmlns:c16="http://schemas.microsoft.com/office/drawing/2014/chart" uri="{C3380CC4-5D6E-409C-BE32-E72D297353CC}">
                <c16:uniqueId val="{0000001B-3D5C-4861-B85E-878AA2FABD4A}"/>
              </c:ext>
            </c:extLst>
          </c:dPt>
          <c:dPt>
            <c:idx val="7"/>
            <c:invertIfNegative val="0"/>
            <c:bubble3D val="0"/>
            <c:spPr>
              <a:noFill/>
              <a:ln w="19050">
                <a:solidFill>
                  <a:srgbClr val="87A4D4"/>
                </a:solidFill>
              </a:ln>
            </c:spPr>
            <c:extLst>
              <c:ext xmlns:c16="http://schemas.microsoft.com/office/drawing/2014/chart" uri="{C3380CC4-5D6E-409C-BE32-E72D297353CC}">
                <c16:uniqueId val="{0000001D-3D5C-4861-B85E-878AA2FABD4A}"/>
              </c:ext>
            </c:extLst>
          </c:dPt>
          <c:dPt>
            <c:idx val="8"/>
            <c:invertIfNegative val="0"/>
            <c:bubble3D val="0"/>
            <c:spPr>
              <a:noFill/>
              <a:ln w="19050">
                <a:solidFill>
                  <a:srgbClr val="FA7800"/>
                </a:solidFill>
              </a:ln>
            </c:spPr>
            <c:extLst>
              <c:ext xmlns:c16="http://schemas.microsoft.com/office/drawing/2014/chart" uri="{C3380CC4-5D6E-409C-BE32-E72D297353CC}">
                <c16:uniqueId val="{0000001F-3D5C-4861-B85E-878AA2FABD4A}"/>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3D5C-4861-B85E-878AA2FABD4A}"/>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3D5C-4861-B85E-878AA2FABD4A}"/>
                </c:ext>
              </c:extLst>
            </c:dLbl>
            <c:dLbl>
              <c:idx val="2"/>
              <c:delete val="1"/>
              <c:extLst>
                <c:ext xmlns:c15="http://schemas.microsoft.com/office/drawing/2012/chart" uri="{CE6537A1-D6FC-4f65-9D91-7224C49458BB}"/>
                <c:ext xmlns:c16="http://schemas.microsoft.com/office/drawing/2014/chart" uri="{C3380CC4-5D6E-409C-BE32-E72D297353CC}">
                  <c16:uniqueId val="{00000022-3D5C-4861-B85E-878AA2FABD4A}"/>
                </c:ext>
              </c:extLst>
            </c:dLbl>
            <c:dLbl>
              <c:idx val="3"/>
              <c:delete val="1"/>
              <c:extLst>
                <c:ext xmlns:c15="http://schemas.microsoft.com/office/drawing/2012/chart" uri="{CE6537A1-D6FC-4f65-9D91-7224C49458BB}"/>
                <c:ext xmlns:c16="http://schemas.microsoft.com/office/drawing/2014/chart" uri="{C3380CC4-5D6E-409C-BE32-E72D297353CC}">
                  <c16:uniqueId val="{00000023-3D5C-4861-B85E-878AA2FABD4A}"/>
                </c:ext>
              </c:extLst>
            </c:dLbl>
            <c:dLbl>
              <c:idx val="5"/>
              <c:delete val="1"/>
              <c:extLst>
                <c:ext xmlns:c15="http://schemas.microsoft.com/office/drawing/2012/chart" uri="{CE6537A1-D6FC-4f65-9D91-7224C49458BB}"/>
                <c:ext xmlns:c16="http://schemas.microsoft.com/office/drawing/2014/chart" uri="{C3380CC4-5D6E-409C-BE32-E72D297353CC}">
                  <c16:uniqueId val="{00000024-3D5C-4861-B85E-878AA2FABD4A}"/>
                </c:ext>
              </c:extLst>
            </c:dLbl>
            <c:dLbl>
              <c:idx val="6"/>
              <c:delete val="1"/>
              <c:extLst>
                <c:ext xmlns:c15="http://schemas.microsoft.com/office/drawing/2012/chart" uri="{CE6537A1-D6FC-4f65-9D91-7224C49458BB}"/>
                <c:ext xmlns:c16="http://schemas.microsoft.com/office/drawing/2014/chart" uri="{C3380CC4-5D6E-409C-BE32-E72D297353CC}">
                  <c16:uniqueId val="{00000025-3D5C-4861-B85E-878AA2FABD4A}"/>
                </c:ext>
              </c:extLst>
            </c:dLbl>
            <c:dLbl>
              <c:idx val="7"/>
              <c:delete val="1"/>
              <c:extLst>
                <c:ext xmlns:c15="http://schemas.microsoft.com/office/drawing/2012/chart" uri="{CE6537A1-D6FC-4f65-9D91-7224C49458BB}"/>
                <c:ext xmlns:c16="http://schemas.microsoft.com/office/drawing/2014/chart" uri="{C3380CC4-5D6E-409C-BE32-E72D297353CC}">
                  <c16:uniqueId val="{00000026-3D5C-4861-B85E-878AA2FABD4A}"/>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3D5C-4861-B85E-878AA2FABD4A}"/>
            </c:ext>
          </c:extLst>
        </c:ser>
        <c:dLbls>
          <c:showLegendKey val="0"/>
          <c:showVal val="0"/>
          <c:showCatName val="0"/>
          <c:showSerName val="0"/>
          <c:showPercent val="0"/>
          <c:showBubbleSize val="0"/>
        </c:dLbls>
        <c:gapWidth val="40"/>
        <c:overlap val="100"/>
        <c:axId val="1181075152"/>
        <c:axId val="1181077112"/>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3D5C-4861-B85E-878AA2FABD4A}"/>
            </c:ext>
          </c:extLst>
        </c:ser>
        <c:dLbls>
          <c:showLegendKey val="0"/>
          <c:showVal val="0"/>
          <c:showCatName val="0"/>
          <c:showSerName val="0"/>
          <c:showPercent val="0"/>
          <c:showBubbleSize val="0"/>
        </c:dLbls>
        <c:marker val="1"/>
        <c:smooth val="0"/>
        <c:axId val="1181076720"/>
        <c:axId val="1181074760"/>
      </c:lineChart>
      <c:catAx>
        <c:axId val="1181075152"/>
        <c:scaling>
          <c:orientation val="minMax"/>
        </c:scaling>
        <c:delete val="0"/>
        <c:axPos val="b"/>
        <c:numFmt formatCode="General" sourceLinked="1"/>
        <c:majorTickMark val="none"/>
        <c:minorTickMark val="none"/>
        <c:tickLblPos val="none"/>
        <c:spPr>
          <a:ln w="31750">
            <a:solidFill>
              <a:schemeClr val="tx1"/>
            </a:solidFill>
          </a:ln>
        </c:spPr>
        <c:crossAx val="1181077112"/>
        <c:crosses val="autoZero"/>
        <c:auto val="1"/>
        <c:lblAlgn val="ctr"/>
        <c:lblOffset val="0"/>
        <c:noMultiLvlLbl val="0"/>
      </c:catAx>
      <c:valAx>
        <c:axId val="1181077112"/>
        <c:scaling>
          <c:orientation val="minMax"/>
          <c:max val="140"/>
          <c:min val="0"/>
        </c:scaling>
        <c:delete val="1"/>
        <c:axPos val="l"/>
        <c:numFmt formatCode="0" sourceLinked="1"/>
        <c:majorTickMark val="out"/>
        <c:minorTickMark val="none"/>
        <c:tickLblPos val="nextTo"/>
        <c:crossAx val="1181075152"/>
        <c:crosses val="autoZero"/>
        <c:crossBetween val="between"/>
        <c:majorUnit val="20"/>
      </c:valAx>
      <c:valAx>
        <c:axId val="1181074760"/>
        <c:scaling>
          <c:orientation val="minMax"/>
          <c:max val="140"/>
          <c:min val="0"/>
        </c:scaling>
        <c:delete val="0"/>
        <c:axPos val="r"/>
        <c:numFmt formatCode="0" sourceLinked="1"/>
        <c:majorTickMark val="none"/>
        <c:minorTickMark val="none"/>
        <c:tickLblPos val="none"/>
        <c:spPr>
          <a:ln>
            <a:noFill/>
          </a:ln>
        </c:spPr>
        <c:crossAx val="1181076720"/>
        <c:crosses val="max"/>
        <c:crossBetween val="between"/>
      </c:valAx>
      <c:catAx>
        <c:axId val="1181076720"/>
        <c:scaling>
          <c:orientation val="minMax"/>
        </c:scaling>
        <c:delete val="1"/>
        <c:axPos val="b"/>
        <c:numFmt formatCode="General" sourceLinked="1"/>
        <c:majorTickMark val="out"/>
        <c:minorTickMark val="none"/>
        <c:tickLblPos val="nextTo"/>
        <c:crossAx val="118107476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AB6-44EC-83F6-066CBC1AB4E0}"/>
              </c:ext>
            </c:extLst>
          </c:dPt>
          <c:dPt>
            <c:idx val="1"/>
            <c:invertIfNegative val="0"/>
            <c:bubble3D val="0"/>
            <c:extLst>
              <c:ext xmlns:c16="http://schemas.microsoft.com/office/drawing/2014/chart" uri="{C3380CC4-5D6E-409C-BE32-E72D297353CC}">
                <c16:uniqueId val="{00000002-6AB6-44EC-83F6-066CBC1AB4E0}"/>
              </c:ext>
            </c:extLst>
          </c:dPt>
          <c:dPt>
            <c:idx val="2"/>
            <c:invertIfNegative val="0"/>
            <c:bubble3D val="0"/>
            <c:extLst>
              <c:ext xmlns:c16="http://schemas.microsoft.com/office/drawing/2014/chart" uri="{C3380CC4-5D6E-409C-BE32-E72D297353CC}">
                <c16:uniqueId val="{00000003-6AB6-44EC-83F6-066CBC1AB4E0}"/>
              </c:ext>
            </c:extLst>
          </c:dPt>
          <c:dPt>
            <c:idx val="3"/>
            <c:invertIfNegative val="0"/>
            <c:bubble3D val="0"/>
            <c:extLst>
              <c:ext xmlns:c16="http://schemas.microsoft.com/office/drawing/2014/chart" uri="{C3380CC4-5D6E-409C-BE32-E72D297353CC}">
                <c16:uniqueId val="{00000004-6AB6-44EC-83F6-066CBC1AB4E0}"/>
              </c:ext>
            </c:extLst>
          </c:dPt>
          <c:dPt>
            <c:idx val="4"/>
            <c:invertIfNegative val="0"/>
            <c:bubble3D val="0"/>
            <c:spPr>
              <a:solidFill>
                <a:srgbClr val="3562A8"/>
              </a:solidFill>
            </c:spPr>
            <c:extLst>
              <c:ext xmlns:c16="http://schemas.microsoft.com/office/drawing/2014/chart" uri="{C3380CC4-5D6E-409C-BE32-E72D297353CC}">
                <c16:uniqueId val="{00000006-6AB6-44EC-83F6-066CBC1AB4E0}"/>
              </c:ext>
            </c:extLst>
          </c:dPt>
          <c:dPt>
            <c:idx val="5"/>
            <c:invertIfNegative val="0"/>
            <c:bubble3D val="0"/>
            <c:extLst>
              <c:ext xmlns:c16="http://schemas.microsoft.com/office/drawing/2014/chart" uri="{C3380CC4-5D6E-409C-BE32-E72D297353CC}">
                <c16:uniqueId val="{00000007-6AB6-44EC-83F6-066CBC1AB4E0}"/>
              </c:ext>
            </c:extLst>
          </c:dPt>
          <c:dPt>
            <c:idx val="6"/>
            <c:invertIfNegative val="0"/>
            <c:bubble3D val="0"/>
            <c:extLst>
              <c:ext xmlns:c16="http://schemas.microsoft.com/office/drawing/2014/chart" uri="{C3380CC4-5D6E-409C-BE32-E72D297353CC}">
                <c16:uniqueId val="{00000008-6AB6-44EC-83F6-066CBC1AB4E0}"/>
              </c:ext>
            </c:extLst>
          </c:dPt>
          <c:dPt>
            <c:idx val="7"/>
            <c:invertIfNegative val="0"/>
            <c:bubble3D val="0"/>
            <c:extLst>
              <c:ext xmlns:c16="http://schemas.microsoft.com/office/drawing/2014/chart" uri="{C3380CC4-5D6E-409C-BE32-E72D297353CC}">
                <c16:uniqueId val="{00000009-6AB6-44EC-83F6-066CBC1AB4E0}"/>
              </c:ext>
            </c:extLst>
          </c:dPt>
          <c:dPt>
            <c:idx val="8"/>
            <c:invertIfNegative val="0"/>
            <c:bubble3D val="0"/>
            <c:spPr>
              <a:solidFill>
                <a:srgbClr val="FA7800"/>
              </a:solidFill>
            </c:spPr>
            <c:extLst>
              <c:ext xmlns:c16="http://schemas.microsoft.com/office/drawing/2014/chart" uri="{C3380CC4-5D6E-409C-BE32-E72D297353CC}">
                <c16:uniqueId val="{0000000B-6AB6-44EC-83F6-066CBC1AB4E0}"/>
              </c:ext>
            </c:extLst>
          </c:dPt>
          <c:dPt>
            <c:idx val="9"/>
            <c:invertIfNegative val="0"/>
            <c:bubble3D val="0"/>
            <c:extLst>
              <c:ext xmlns:c16="http://schemas.microsoft.com/office/drawing/2014/chart" uri="{C3380CC4-5D6E-409C-BE32-E72D297353CC}">
                <c16:uniqueId val="{0000000C-6AB6-44EC-83F6-066CBC1AB4E0}"/>
              </c:ext>
            </c:extLst>
          </c:dPt>
          <c:dLbls>
            <c:dLbl>
              <c:idx val="1"/>
              <c:delete val="1"/>
              <c:extLst>
                <c:ext xmlns:c15="http://schemas.microsoft.com/office/drawing/2012/chart" uri="{CE6537A1-D6FC-4f65-9D91-7224C49458BB}"/>
                <c:ext xmlns:c16="http://schemas.microsoft.com/office/drawing/2014/chart" uri="{C3380CC4-5D6E-409C-BE32-E72D297353CC}">
                  <c16:uniqueId val="{00000002-6AB6-44EC-83F6-066CBC1AB4E0}"/>
                </c:ext>
              </c:extLst>
            </c:dLbl>
            <c:dLbl>
              <c:idx val="2"/>
              <c:delete val="1"/>
              <c:extLst>
                <c:ext xmlns:c15="http://schemas.microsoft.com/office/drawing/2012/chart" uri="{CE6537A1-D6FC-4f65-9D91-7224C49458BB}"/>
                <c:ext xmlns:c16="http://schemas.microsoft.com/office/drawing/2014/chart" uri="{C3380CC4-5D6E-409C-BE32-E72D297353CC}">
                  <c16:uniqueId val="{00000003-6AB6-44EC-83F6-066CBC1AB4E0}"/>
                </c:ext>
              </c:extLst>
            </c:dLbl>
            <c:dLbl>
              <c:idx val="3"/>
              <c:delete val="1"/>
              <c:extLst>
                <c:ext xmlns:c15="http://schemas.microsoft.com/office/drawing/2012/chart" uri="{CE6537A1-D6FC-4f65-9D91-7224C49458BB}"/>
                <c:ext xmlns:c16="http://schemas.microsoft.com/office/drawing/2014/chart" uri="{C3380CC4-5D6E-409C-BE32-E72D297353CC}">
                  <c16:uniqueId val="{00000004-6AB6-44EC-83F6-066CBC1AB4E0}"/>
                </c:ext>
              </c:extLst>
            </c:dLbl>
            <c:dLbl>
              <c:idx val="5"/>
              <c:delete val="1"/>
              <c:extLst>
                <c:ext xmlns:c15="http://schemas.microsoft.com/office/drawing/2012/chart" uri="{CE6537A1-D6FC-4f65-9D91-7224C49458BB}"/>
                <c:ext xmlns:c16="http://schemas.microsoft.com/office/drawing/2014/chart" uri="{C3380CC4-5D6E-409C-BE32-E72D297353CC}">
                  <c16:uniqueId val="{00000007-6AB6-44EC-83F6-066CBC1AB4E0}"/>
                </c:ext>
              </c:extLst>
            </c:dLbl>
            <c:dLbl>
              <c:idx val="6"/>
              <c:delete val="1"/>
              <c:extLst>
                <c:ext xmlns:c15="http://schemas.microsoft.com/office/drawing/2012/chart" uri="{CE6537A1-D6FC-4f65-9D91-7224C49458BB}"/>
                <c:ext xmlns:c16="http://schemas.microsoft.com/office/drawing/2014/chart" uri="{C3380CC4-5D6E-409C-BE32-E72D297353CC}">
                  <c16:uniqueId val="{00000008-6AB6-44EC-83F6-066CBC1AB4E0}"/>
                </c:ext>
              </c:extLst>
            </c:dLbl>
            <c:dLbl>
              <c:idx val="7"/>
              <c:delete val="1"/>
              <c:extLst>
                <c:ext xmlns:c15="http://schemas.microsoft.com/office/drawing/2012/chart" uri="{CE6537A1-D6FC-4f65-9D91-7224C49458BB}"/>
                <c:ext xmlns:c16="http://schemas.microsoft.com/office/drawing/2014/chart" uri="{C3380CC4-5D6E-409C-BE32-E72D297353CC}">
                  <c16:uniqueId val="{00000009-6AB6-44EC-83F6-066CBC1AB4E0}"/>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6AB6-44EC-83F6-066CBC1AB4E0}"/>
            </c:ext>
          </c:extLst>
        </c:ser>
        <c:dLbls>
          <c:showLegendKey val="0"/>
          <c:showVal val="0"/>
          <c:showCatName val="0"/>
          <c:showSerName val="0"/>
          <c:showPercent val="0"/>
          <c:showBubbleSize val="0"/>
        </c:dLbls>
        <c:gapWidth val="40"/>
        <c:axId val="1181018312"/>
        <c:axId val="1181020272"/>
      </c:barChart>
      <c:catAx>
        <c:axId val="1181018312"/>
        <c:scaling>
          <c:orientation val="minMax"/>
        </c:scaling>
        <c:delete val="0"/>
        <c:axPos val="b"/>
        <c:numFmt formatCode="General" sourceLinked="1"/>
        <c:majorTickMark val="none"/>
        <c:minorTickMark val="none"/>
        <c:tickLblPos val="none"/>
        <c:spPr>
          <a:ln w="31750">
            <a:solidFill>
              <a:schemeClr val="tx1"/>
            </a:solidFill>
          </a:ln>
        </c:spPr>
        <c:crossAx val="1181020272"/>
        <c:crosses val="autoZero"/>
        <c:auto val="1"/>
        <c:lblAlgn val="ctr"/>
        <c:lblOffset val="0"/>
        <c:noMultiLvlLbl val="0"/>
      </c:catAx>
      <c:valAx>
        <c:axId val="1181020272"/>
        <c:scaling>
          <c:orientation val="minMax"/>
          <c:max val="100"/>
          <c:min val="0"/>
        </c:scaling>
        <c:delete val="1"/>
        <c:axPos val="l"/>
        <c:numFmt formatCode="0.0" sourceLinked="1"/>
        <c:majorTickMark val="out"/>
        <c:minorTickMark val="none"/>
        <c:tickLblPos val="nextTo"/>
        <c:crossAx val="11810183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EB1F-4C53-A6A4-EFDDBD21C4F7}"/>
              </c:ext>
            </c:extLst>
          </c:dPt>
          <c:dPt>
            <c:idx val="4"/>
            <c:invertIfNegative val="0"/>
            <c:bubble3D val="0"/>
            <c:spPr>
              <a:solidFill>
                <a:srgbClr val="3562A8"/>
              </a:solidFill>
            </c:spPr>
            <c:extLst>
              <c:ext xmlns:c16="http://schemas.microsoft.com/office/drawing/2014/chart" uri="{C3380CC4-5D6E-409C-BE32-E72D297353CC}">
                <c16:uniqueId val="{00000003-EB1F-4C53-A6A4-EFDDBD21C4F7}"/>
              </c:ext>
            </c:extLst>
          </c:dPt>
          <c:dPt>
            <c:idx val="8"/>
            <c:invertIfNegative val="0"/>
            <c:bubble3D val="0"/>
            <c:spPr>
              <a:solidFill>
                <a:srgbClr val="FA7800"/>
              </a:solidFill>
            </c:spPr>
            <c:extLst>
              <c:ext xmlns:c16="http://schemas.microsoft.com/office/drawing/2014/chart" uri="{C3380CC4-5D6E-409C-BE32-E72D297353CC}">
                <c16:uniqueId val="{00000005-EB1F-4C53-A6A4-EFDDBD21C4F7}"/>
              </c:ext>
            </c:extLst>
          </c:dPt>
          <c:dPt>
            <c:idx val="9"/>
            <c:invertIfNegative val="0"/>
            <c:bubble3D val="0"/>
            <c:extLst>
              <c:ext xmlns:c16="http://schemas.microsoft.com/office/drawing/2014/chart" uri="{C3380CC4-5D6E-409C-BE32-E72D297353CC}">
                <c16:uniqueId val="{00000006-EB1F-4C53-A6A4-EFDDBD21C4F7}"/>
              </c:ext>
            </c:extLst>
          </c:dPt>
          <c:dLbls>
            <c:dLbl>
              <c:idx val="1"/>
              <c:delete val="1"/>
              <c:extLst>
                <c:ext xmlns:c15="http://schemas.microsoft.com/office/drawing/2012/chart" uri="{CE6537A1-D6FC-4f65-9D91-7224C49458BB}"/>
                <c:ext xmlns:c16="http://schemas.microsoft.com/office/drawing/2014/chart" uri="{C3380CC4-5D6E-409C-BE32-E72D297353CC}">
                  <c16:uniqueId val="{00000007-EB1F-4C53-A6A4-EFDDBD21C4F7}"/>
                </c:ext>
              </c:extLst>
            </c:dLbl>
            <c:dLbl>
              <c:idx val="2"/>
              <c:delete val="1"/>
              <c:extLst>
                <c:ext xmlns:c15="http://schemas.microsoft.com/office/drawing/2012/chart" uri="{CE6537A1-D6FC-4f65-9D91-7224C49458BB}"/>
                <c:ext xmlns:c16="http://schemas.microsoft.com/office/drawing/2014/chart" uri="{C3380CC4-5D6E-409C-BE32-E72D297353CC}">
                  <c16:uniqueId val="{00000008-EB1F-4C53-A6A4-EFDDBD21C4F7}"/>
                </c:ext>
              </c:extLst>
            </c:dLbl>
            <c:dLbl>
              <c:idx val="3"/>
              <c:delete val="1"/>
              <c:extLst>
                <c:ext xmlns:c15="http://schemas.microsoft.com/office/drawing/2012/chart" uri="{CE6537A1-D6FC-4f65-9D91-7224C49458BB}"/>
                <c:ext xmlns:c16="http://schemas.microsoft.com/office/drawing/2014/chart" uri="{C3380CC4-5D6E-409C-BE32-E72D297353CC}">
                  <c16:uniqueId val="{00000009-EB1F-4C53-A6A4-EFDDBD21C4F7}"/>
                </c:ext>
              </c:extLst>
            </c:dLbl>
            <c:dLbl>
              <c:idx val="5"/>
              <c:delete val="1"/>
              <c:extLst>
                <c:ext xmlns:c15="http://schemas.microsoft.com/office/drawing/2012/chart" uri="{CE6537A1-D6FC-4f65-9D91-7224C49458BB}"/>
                <c:ext xmlns:c16="http://schemas.microsoft.com/office/drawing/2014/chart" uri="{C3380CC4-5D6E-409C-BE32-E72D297353CC}">
                  <c16:uniqueId val="{0000000A-EB1F-4C53-A6A4-EFDDBD21C4F7}"/>
                </c:ext>
              </c:extLst>
            </c:dLbl>
            <c:dLbl>
              <c:idx val="6"/>
              <c:delete val="1"/>
              <c:extLst>
                <c:ext xmlns:c15="http://schemas.microsoft.com/office/drawing/2012/chart" uri="{CE6537A1-D6FC-4f65-9D91-7224C49458BB}"/>
                <c:ext xmlns:c16="http://schemas.microsoft.com/office/drawing/2014/chart" uri="{C3380CC4-5D6E-409C-BE32-E72D297353CC}">
                  <c16:uniqueId val="{0000000B-EB1F-4C53-A6A4-EFDDBD21C4F7}"/>
                </c:ext>
              </c:extLst>
            </c:dLbl>
            <c:dLbl>
              <c:idx val="7"/>
              <c:delete val="1"/>
              <c:extLst>
                <c:ext xmlns:c15="http://schemas.microsoft.com/office/drawing/2012/chart" uri="{CE6537A1-D6FC-4f65-9D91-7224C49458BB}"/>
                <c:ext xmlns:c16="http://schemas.microsoft.com/office/drawing/2014/chart" uri="{C3380CC4-5D6E-409C-BE32-E72D297353CC}">
                  <c16:uniqueId val="{0000000C-EB1F-4C53-A6A4-EFDDBD21C4F7}"/>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EB1F-4C53-A6A4-EFDDBD21C4F7}"/>
            </c:ext>
          </c:extLst>
        </c:ser>
        <c:dLbls>
          <c:showLegendKey val="0"/>
          <c:showVal val="1"/>
          <c:showCatName val="0"/>
          <c:showSerName val="0"/>
          <c:showPercent val="0"/>
          <c:showBubbleSize val="0"/>
        </c:dLbls>
        <c:gapWidth val="40"/>
        <c:axId val="1181016352"/>
        <c:axId val="1181015568"/>
      </c:barChart>
      <c:catAx>
        <c:axId val="1181016352"/>
        <c:scaling>
          <c:orientation val="minMax"/>
        </c:scaling>
        <c:delete val="0"/>
        <c:axPos val="b"/>
        <c:numFmt formatCode="General" sourceLinked="1"/>
        <c:majorTickMark val="none"/>
        <c:minorTickMark val="none"/>
        <c:tickLblPos val="none"/>
        <c:spPr>
          <a:ln w="31750">
            <a:solidFill>
              <a:schemeClr val="tx1"/>
            </a:solidFill>
          </a:ln>
        </c:spPr>
        <c:crossAx val="1181015568"/>
        <c:crosses val="autoZero"/>
        <c:auto val="1"/>
        <c:lblAlgn val="ctr"/>
        <c:lblOffset val="0"/>
        <c:noMultiLvlLbl val="0"/>
      </c:catAx>
      <c:valAx>
        <c:axId val="1181015568"/>
        <c:scaling>
          <c:orientation val="minMax"/>
          <c:max val="30"/>
          <c:min val="-15"/>
        </c:scaling>
        <c:delete val="0"/>
        <c:axPos val="l"/>
        <c:numFmt formatCode="0.0" sourceLinked="1"/>
        <c:majorTickMark val="none"/>
        <c:minorTickMark val="none"/>
        <c:tickLblPos val="none"/>
        <c:spPr>
          <a:ln>
            <a:noFill/>
          </a:ln>
        </c:spPr>
        <c:crossAx val="118101635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916-4386-9B9A-45E08D5A16B5}"/>
              </c:ext>
            </c:extLst>
          </c:dPt>
          <c:dPt>
            <c:idx val="4"/>
            <c:invertIfNegative val="0"/>
            <c:bubble3D val="0"/>
            <c:spPr>
              <a:solidFill>
                <a:srgbClr val="3562A8"/>
              </a:solidFill>
            </c:spPr>
            <c:extLst>
              <c:ext xmlns:c16="http://schemas.microsoft.com/office/drawing/2014/chart" uri="{C3380CC4-5D6E-409C-BE32-E72D297353CC}">
                <c16:uniqueId val="{00000003-9916-4386-9B9A-45E08D5A16B5}"/>
              </c:ext>
            </c:extLst>
          </c:dPt>
          <c:dPt>
            <c:idx val="8"/>
            <c:invertIfNegative val="0"/>
            <c:bubble3D val="0"/>
            <c:spPr>
              <a:solidFill>
                <a:srgbClr val="FA7800"/>
              </a:solidFill>
            </c:spPr>
            <c:extLst>
              <c:ext xmlns:c16="http://schemas.microsoft.com/office/drawing/2014/chart" uri="{C3380CC4-5D6E-409C-BE32-E72D297353CC}">
                <c16:uniqueId val="{00000005-9916-4386-9B9A-45E08D5A16B5}"/>
              </c:ext>
            </c:extLst>
          </c:dPt>
          <c:dPt>
            <c:idx val="9"/>
            <c:invertIfNegative val="0"/>
            <c:bubble3D val="0"/>
            <c:extLst>
              <c:ext xmlns:c16="http://schemas.microsoft.com/office/drawing/2014/chart" uri="{C3380CC4-5D6E-409C-BE32-E72D297353CC}">
                <c16:uniqueId val="{00000006-9916-4386-9B9A-45E08D5A16B5}"/>
              </c:ext>
            </c:extLst>
          </c:dPt>
          <c:dLbls>
            <c:dLbl>
              <c:idx val="1"/>
              <c:delete val="1"/>
              <c:extLst>
                <c:ext xmlns:c15="http://schemas.microsoft.com/office/drawing/2012/chart" uri="{CE6537A1-D6FC-4f65-9D91-7224C49458BB}"/>
                <c:ext xmlns:c16="http://schemas.microsoft.com/office/drawing/2014/chart" uri="{C3380CC4-5D6E-409C-BE32-E72D297353CC}">
                  <c16:uniqueId val="{00000007-9916-4386-9B9A-45E08D5A16B5}"/>
                </c:ext>
              </c:extLst>
            </c:dLbl>
            <c:dLbl>
              <c:idx val="2"/>
              <c:delete val="1"/>
              <c:extLst>
                <c:ext xmlns:c15="http://schemas.microsoft.com/office/drawing/2012/chart" uri="{CE6537A1-D6FC-4f65-9D91-7224C49458BB}"/>
                <c:ext xmlns:c16="http://schemas.microsoft.com/office/drawing/2014/chart" uri="{C3380CC4-5D6E-409C-BE32-E72D297353CC}">
                  <c16:uniqueId val="{00000008-9916-4386-9B9A-45E08D5A16B5}"/>
                </c:ext>
              </c:extLst>
            </c:dLbl>
            <c:dLbl>
              <c:idx val="3"/>
              <c:delete val="1"/>
              <c:extLst>
                <c:ext xmlns:c15="http://schemas.microsoft.com/office/drawing/2012/chart" uri="{CE6537A1-D6FC-4f65-9D91-7224C49458BB}"/>
                <c:ext xmlns:c16="http://schemas.microsoft.com/office/drawing/2014/chart" uri="{C3380CC4-5D6E-409C-BE32-E72D297353CC}">
                  <c16:uniqueId val="{00000009-9916-4386-9B9A-45E08D5A16B5}"/>
                </c:ext>
              </c:extLst>
            </c:dLbl>
            <c:dLbl>
              <c:idx val="5"/>
              <c:delete val="1"/>
              <c:extLst>
                <c:ext xmlns:c15="http://schemas.microsoft.com/office/drawing/2012/chart" uri="{CE6537A1-D6FC-4f65-9D91-7224C49458BB}"/>
                <c:ext xmlns:c16="http://schemas.microsoft.com/office/drawing/2014/chart" uri="{C3380CC4-5D6E-409C-BE32-E72D297353CC}">
                  <c16:uniqueId val="{0000000A-9916-4386-9B9A-45E08D5A16B5}"/>
                </c:ext>
              </c:extLst>
            </c:dLbl>
            <c:dLbl>
              <c:idx val="6"/>
              <c:delete val="1"/>
              <c:extLst>
                <c:ext xmlns:c15="http://schemas.microsoft.com/office/drawing/2012/chart" uri="{CE6537A1-D6FC-4f65-9D91-7224C49458BB}"/>
                <c:ext xmlns:c16="http://schemas.microsoft.com/office/drawing/2014/chart" uri="{C3380CC4-5D6E-409C-BE32-E72D297353CC}">
                  <c16:uniqueId val="{0000000B-9916-4386-9B9A-45E08D5A16B5}"/>
                </c:ext>
              </c:extLst>
            </c:dLbl>
            <c:dLbl>
              <c:idx val="7"/>
              <c:delete val="1"/>
              <c:extLst>
                <c:ext xmlns:c15="http://schemas.microsoft.com/office/drawing/2012/chart" uri="{CE6537A1-D6FC-4f65-9D91-7224C49458BB}"/>
                <c:ext xmlns:c16="http://schemas.microsoft.com/office/drawing/2014/chart" uri="{C3380CC4-5D6E-409C-BE32-E72D297353CC}">
                  <c16:uniqueId val="{0000000C-9916-4386-9B9A-45E08D5A16B5}"/>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9916-4386-9B9A-45E08D5A16B5}"/>
            </c:ext>
          </c:extLst>
        </c:ser>
        <c:dLbls>
          <c:showLegendKey val="0"/>
          <c:showVal val="1"/>
          <c:showCatName val="0"/>
          <c:showSerName val="0"/>
          <c:showPercent val="0"/>
          <c:showBubbleSize val="0"/>
        </c:dLbls>
        <c:gapWidth val="40"/>
        <c:axId val="1181017136"/>
        <c:axId val="1181015960"/>
      </c:barChart>
      <c:catAx>
        <c:axId val="1181017136"/>
        <c:scaling>
          <c:orientation val="minMax"/>
        </c:scaling>
        <c:delete val="0"/>
        <c:axPos val="b"/>
        <c:numFmt formatCode="General" sourceLinked="1"/>
        <c:majorTickMark val="none"/>
        <c:minorTickMark val="none"/>
        <c:tickLblPos val="none"/>
        <c:spPr>
          <a:ln w="31750">
            <a:solidFill>
              <a:schemeClr val="tx1"/>
            </a:solidFill>
          </a:ln>
        </c:spPr>
        <c:crossAx val="1181015960"/>
        <c:crosses val="autoZero"/>
        <c:auto val="1"/>
        <c:lblAlgn val="ctr"/>
        <c:lblOffset val="0"/>
        <c:noMultiLvlLbl val="0"/>
      </c:catAx>
      <c:valAx>
        <c:axId val="1181015960"/>
        <c:scaling>
          <c:orientation val="minMax"/>
          <c:max val="25"/>
          <c:min val="0"/>
        </c:scaling>
        <c:delete val="0"/>
        <c:axPos val="l"/>
        <c:numFmt formatCode="0.0" sourceLinked="1"/>
        <c:majorTickMark val="none"/>
        <c:minorTickMark val="none"/>
        <c:tickLblPos val="none"/>
        <c:spPr>
          <a:ln>
            <a:noFill/>
          </a:ln>
        </c:spPr>
        <c:crossAx val="11810171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B53-4A9E-82F9-A11D0D91251D}"/>
              </c:ext>
            </c:extLst>
          </c:dPt>
          <c:dPt>
            <c:idx val="4"/>
            <c:invertIfNegative val="0"/>
            <c:bubble3D val="0"/>
            <c:spPr>
              <a:solidFill>
                <a:srgbClr val="3562A8"/>
              </a:solidFill>
            </c:spPr>
            <c:extLst>
              <c:ext xmlns:c16="http://schemas.microsoft.com/office/drawing/2014/chart" uri="{C3380CC4-5D6E-409C-BE32-E72D297353CC}">
                <c16:uniqueId val="{00000003-7B53-4A9E-82F9-A11D0D91251D}"/>
              </c:ext>
            </c:extLst>
          </c:dPt>
          <c:dPt>
            <c:idx val="8"/>
            <c:invertIfNegative val="0"/>
            <c:bubble3D val="0"/>
            <c:spPr>
              <a:solidFill>
                <a:srgbClr val="FA7800"/>
              </a:solidFill>
            </c:spPr>
            <c:extLst>
              <c:ext xmlns:c16="http://schemas.microsoft.com/office/drawing/2014/chart" uri="{C3380CC4-5D6E-409C-BE32-E72D297353CC}">
                <c16:uniqueId val="{00000005-7B53-4A9E-82F9-A11D0D91251D}"/>
              </c:ext>
            </c:extLst>
          </c:dPt>
          <c:dPt>
            <c:idx val="9"/>
            <c:invertIfNegative val="0"/>
            <c:bubble3D val="0"/>
            <c:extLst>
              <c:ext xmlns:c16="http://schemas.microsoft.com/office/drawing/2014/chart" uri="{C3380CC4-5D6E-409C-BE32-E72D297353CC}">
                <c16:uniqueId val="{00000006-7B53-4A9E-82F9-A11D0D91251D}"/>
              </c:ext>
            </c:extLst>
          </c:dPt>
          <c:dLbls>
            <c:dLbl>
              <c:idx val="1"/>
              <c:delete val="1"/>
              <c:extLst>
                <c:ext xmlns:c15="http://schemas.microsoft.com/office/drawing/2012/chart" uri="{CE6537A1-D6FC-4f65-9D91-7224C49458BB}"/>
                <c:ext xmlns:c16="http://schemas.microsoft.com/office/drawing/2014/chart" uri="{C3380CC4-5D6E-409C-BE32-E72D297353CC}">
                  <c16:uniqueId val="{00000007-7B53-4A9E-82F9-A11D0D91251D}"/>
                </c:ext>
              </c:extLst>
            </c:dLbl>
            <c:dLbl>
              <c:idx val="2"/>
              <c:delete val="1"/>
              <c:extLst>
                <c:ext xmlns:c15="http://schemas.microsoft.com/office/drawing/2012/chart" uri="{CE6537A1-D6FC-4f65-9D91-7224C49458BB}"/>
                <c:ext xmlns:c16="http://schemas.microsoft.com/office/drawing/2014/chart" uri="{C3380CC4-5D6E-409C-BE32-E72D297353CC}">
                  <c16:uniqueId val="{00000008-7B53-4A9E-82F9-A11D0D91251D}"/>
                </c:ext>
              </c:extLst>
            </c:dLbl>
            <c:dLbl>
              <c:idx val="3"/>
              <c:delete val="1"/>
              <c:extLst>
                <c:ext xmlns:c15="http://schemas.microsoft.com/office/drawing/2012/chart" uri="{CE6537A1-D6FC-4f65-9D91-7224C49458BB}"/>
                <c:ext xmlns:c16="http://schemas.microsoft.com/office/drawing/2014/chart" uri="{C3380CC4-5D6E-409C-BE32-E72D297353CC}">
                  <c16:uniqueId val="{00000009-7B53-4A9E-82F9-A11D0D91251D}"/>
                </c:ext>
              </c:extLst>
            </c:dLbl>
            <c:dLbl>
              <c:idx val="5"/>
              <c:delete val="1"/>
              <c:extLst>
                <c:ext xmlns:c15="http://schemas.microsoft.com/office/drawing/2012/chart" uri="{CE6537A1-D6FC-4f65-9D91-7224C49458BB}"/>
                <c:ext xmlns:c16="http://schemas.microsoft.com/office/drawing/2014/chart" uri="{C3380CC4-5D6E-409C-BE32-E72D297353CC}">
                  <c16:uniqueId val="{0000000A-7B53-4A9E-82F9-A11D0D91251D}"/>
                </c:ext>
              </c:extLst>
            </c:dLbl>
            <c:dLbl>
              <c:idx val="6"/>
              <c:delete val="1"/>
              <c:extLst>
                <c:ext xmlns:c15="http://schemas.microsoft.com/office/drawing/2012/chart" uri="{CE6537A1-D6FC-4f65-9D91-7224C49458BB}"/>
                <c:ext xmlns:c16="http://schemas.microsoft.com/office/drawing/2014/chart" uri="{C3380CC4-5D6E-409C-BE32-E72D297353CC}">
                  <c16:uniqueId val="{0000000B-7B53-4A9E-82F9-A11D0D91251D}"/>
                </c:ext>
              </c:extLst>
            </c:dLbl>
            <c:dLbl>
              <c:idx val="7"/>
              <c:delete val="1"/>
              <c:extLst>
                <c:ext xmlns:c15="http://schemas.microsoft.com/office/drawing/2012/chart" uri="{CE6537A1-D6FC-4f65-9D91-7224C49458BB}"/>
                <c:ext xmlns:c16="http://schemas.microsoft.com/office/drawing/2014/chart" uri="{C3380CC4-5D6E-409C-BE32-E72D297353CC}">
                  <c16:uniqueId val="{0000000C-7B53-4A9E-82F9-A11D0D91251D}"/>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B53-4A9E-82F9-A11D0D91251D}"/>
            </c:ext>
          </c:extLst>
        </c:ser>
        <c:dLbls>
          <c:showLegendKey val="0"/>
          <c:showVal val="0"/>
          <c:showCatName val="0"/>
          <c:showSerName val="0"/>
          <c:showPercent val="0"/>
          <c:showBubbleSize val="0"/>
        </c:dLbls>
        <c:gapWidth val="40"/>
        <c:axId val="1181019096"/>
        <c:axId val="1181014392"/>
      </c:barChart>
      <c:catAx>
        <c:axId val="1181019096"/>
        <c:scaling>
          <c:orientation val="minMax"/>
        </c:scaling>
        <c:delete val="0"/>
        <c:axPos val="b"/>
        <c:numFmt formatCode="General" sourceLinked="1"/>
        <c:majorTickMark val="none"/>
        <c:minorTickMark val="none"/>
        <c:tickLblPos val="none"/>
        <c:spPr>
          <a:ln w="31750">
            <a:solidFill>
              <a:schemeClr val="tx1"/>
            </a:solidFill>
          </a:ln>
        </c:spPr>
        <c:crossAx val="1181014392"/>
        <c:crosses val="autoZero"/>
        <c:auto val="1"/>
        <c:lblAlgn val="ctr"/>
        <c:lblOffset val="0"/>
        <c:noMultiLvlLbl val="0"/>
      </c:catAx>
      <c:valAx>
        <c:axId val="1181014392"/>
        <c:scaling>
          <c:orientation val="minMax"/>
          <c:max val="50"/>
          <c:min val="0"/>
        </c:scaling>
        <c:delete val="1"/>
        <c:axPos val="l"/>
        <c:numFmt formatCode="0.0" sourceLinked="1"/>
        <c:majorTickMark val="out"/>
        <c:minorTickMark val="none"/>
        <c:tickLblPos val="nextTo"/>
        <c:crossAx val="11810190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D75-44F0-9C42-29E5B243F33C}"/>
              </c:ext>
            </c:extLst>
          </c:dPt>
          <c:dPt>
            <c:idx val="4"/>
            <c:invertIfNegative val="0"/>
            <c:bubble3D val="0"/>
            <c:spPr>
              <a:solidFill>
                <a:srgbClr val="3562A8"/>
              </a:solidFill>
            </c:spPr>
            <c:extLst>
              <c:ext xmlns:c16="http://schemas.microsoft.com/office/drawing/2014/chart" uri="{C3380CC4-5D6E-409C-BE32-E72D297353CC}">
                <c16:uniqueId val="{00000003-CD75-44F0-9C42-29E5B243F33C}"/>
              </c:ext>
            </c:extLst>
          </c:dPt>
          <c:dPt>
            <c:idx val="8"/>
            <c:invertIfNegative val="0"/>
            <c:bubble3D val="0"/>
            <c:spPr>
              <a:solidFill>
                <a:srgbClr val="FA7800"/>
              </a:solidFill>
            </c:spPr>
            <c:extLst>
              <c:ext xmlns:c16="http://schemas.microsoft.com/office/drawing/2014/chart" uri="{C3380CC4-5D6E-409C-BE32-E72D297353CC}">
                <c16:uniqueId val="{00000005-CD75-44F0-9C42-29E5B243F33C}"/>
              </c:ext>
            </c:extLst>
          </c:dPt>
          <c:dPt>
            <c:idx val="9"/>
            <c:invertIfNegative val="0"/>
            <c:bubble3D val="0"/>
            <c:extLst>
              <c:ext xmlns:c16="http://schemas.microsoft.com/office/drawing/2014/chart" uri="{C3380CC4-5D6E-409C-BE32-E72D297353CC}">
                <c16:uniqueId val="{00000006-CD75-44F0-9C42-29E5B243F33C}"/>
              </c:ext>
            </c:extLst>
          </c:dPt>
          <c:dLbls>
            <c:dLbl>
              <c:idx val="1"/>
              <c:delete val="1"/>
              <c:extLst>
                <c:ext xmlns:c15="http://schemas.microsoft.com/office/drawing/2012/chart" uri="{CE6537A1-D6FC-4f65-9D91-7224C49458BB}"/>
                <c:ext xmlns:c16="http://schemas.microsoft.com/office/drawing/2014/chart" uri="{C3380CC4-5D6E-409C-BE32-E72D297353CC}">
                  <c16:uniqueId val="{00000007-CD75-44F0-9C42-29E5B243F33C}"/>
                </c:ext>
              </c:extLst>
            </c:dLbl>
            <c:dLbl>
              <c:idx val="2"/>
              <c:delete val="1"/>
              <c:extLst>
                <c:ext xmlns:c15="http://schemas.microsoft.com/office/drawing/2012/chart" uri="{CE6537A1-D6FC-4f65-9D91-7224C49458BB}"/>
                <c:ext xmlns:c16="http://schemas.microsoft.com/office/drawing/2014/chart" uri="{C3380CC4-5D6E-409C-BE32-E72D297353CC}">
                  <c16:uniqueId val="{00000008-CD75-44F0-9C42-29E5B243F33C}"/>
                </c:ext>
              </c:extLst>
            </c:dLbl>
            <c:dLbl>
              <c:idx val="3"/>
              <c:delete val="1"/>
              <c:extLst>
                <c:ext xmlns:c15="http://schemas.microsoft.com/office/drawing/2012/chart" uri="{CE6537A1-D6FC-4f65-9D91-7224C49458BB}"/>
                <c:ext xmlns:c16="http://schemas.microsoft.com/office/drawing/2014/chart" uri="{C3380CC4-5D6E-409C-BE32-E72D297353CC}">
                  <c16:uniqueId val="{00000009-CD75-44F0-9C42-29E5B243F33C}"/>
                </c:ext>
              </c:extLst>
            </c:dLbl>
            <c:dLbl>
              <c:idx val="5"/>
              <c:delete val="1"/>
              <c:extLst>
                <c:ext xmlns:c15="http://schemas.microsoft.com/office/drawing/2012/chart" uri="{CE6537A1-D6FC-4f65-9D91-7224C49458BB}"/>
                <c:ext xmlns:c16="http://schemas.microsoft.com/office/drawing/2014/chart" uri="{C3380CC4-5D6E-409C-BE32-E72D297353CC}">
                  <c16:uniqueId val="{0000000A-CD75-44F0-9C42-29E5B243F33C}"/>
                </c:ext>
              </c:extLst>
            </c:dLbl>
            <c:dLbl>
              <c:idx val="6"/>
              <c:delete val="1"/>
              <c:extLst>
                <c:ext xmlns:c15="http://schemas.microsoft.com/office/drawing/2012/chart" uri="{CE6537A1-D6FC-4f65-9D91-7224C49458BB}"/>
                <c:ext xmlns:c16="http://schemas.microsoft.com/office/drawing/2014/chart" uri="{C3380CC4-5D6E-409C-BE32-E72D297353CC}">
                  <c16:uniqueId val="{0000000B-CD75-44F0-9C42-29E5B243F33C}"/>
                </c:ext>
              </c:extLst>
            </c:dLbl>
            <c:dLbl>
              <c:idx val="7"/>
              <c:delete val="1"/>
              <c:extLst>
                <c:ext xmlns:c15="http://schemas.microsoft.com/office/drawing/2012/chart" uri="{CE6537A1-D6FC-4f65-9D91-7224C49458BB}"/>
                <c:ext xmlns:c16="http://schemas.microsoft.com/office/drawing/2014/chart" uri="{C3380CC4-5D6E-409C-BE32-E72D297353CC}">
                  <c16:uniqueId val="{0000000C-CD75-44F0-9C42-29E5B243F33C}"/>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D75-44F0-9C42-29E5B243F33C}"/>
            </c:ext>
          </c:extLst>
        </c:ser>
        <c:dLbls>
          <c:showLegendKey val="0"/>
          <c:showVal val="0"/>
          <c:showCatName val="0"/>
          <c:showSerName val="0"/>
          <c:showPercent val="0"/>
          <c:showBubbleSize val="0"/>
        </c:dLbls>
        <c:gapWidth val="40"/>
        <c:axId val="1177746352"/>
        <c:axId val="11777416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CD75-44F0-9C42-29E5B243F33C}"/>
            </c:ext>
          </c:extLst>
        </c:ser>
        <c:dLbls>
          <c:showLegendKey val="0"/>
          <c:showVal val="0"/>
          <c:showCatName val="0"/>
          <c:showSerName val="0"/>
          <c:showPercent val="0"/>
          <c:showBubbleSize val="0"/>
        </c:dLbls>
        <c:marker val="1"/>
        <c:smooth val="0"/>
        <c:axId val="1177735768"/>
        <c:axId val="1177746744"/>
      </c:lineChart>
      <c:catAx>
        <c:axId val="1177746352"/>
        <c:scaling>
          <c:orientation val="minMax"/>
        </c:scaling>
        <c:delete val="0"/>
        <c:axPos val="b"/>
        <c:numFmt formatCode="General" sourceLinked="1"/>
        <c:majorTickMark val="none"/>
        <c:minorTickMark val="none"/>
        <c:tickLblPos val="none"/>
        <c:spPr>
          <a:ln w="31750">
            <a:solidFill>
              <a:schemeClr val="tx1"/>
            </a:solidFill>
          </a:ln>
        </c:spPr>
        <c:crossAx val="1177741648"/>
        <c:crosses val="autoZero"/>
        <c:auto val="1"/>
        <c:lblAlgn val="ctr"/>
        <c:lblOffset val="0"/>
        <c:noMultiLvlLbl val="0"/>
      </c:catAx>
      <c:valAx>
        <c:axId val="1177741648"/>
        <c:scaling>
          <c:orientation val="minMax"/>
          <c:max val="50"/>
          <c:min val="0"/>
        </c:scaling>
        <c:delete val="1"/>
        <c:axPos val="l"/>
        <c:numFmt formatCode="0.0" sourceLinked="1"/>
        <c:majorTickMark val="out"/>
        <c:minorTickMark val="none"/>
        <c:tickLblPos val="nextTo"/>
        <c:crossAx val="1177746352"/>
        <c:crosses val="autoZero"/>
        <c:crossBetween val="between"/>
        <c:majorUnit val="15"/>
      </c:valAx>
      <c:valAx>
        <c:axId val="1177746744"/>
        <c:scaling>
          <c:orientation val="minMax"/>
        </c:scaling>
        <c:delete val="0"/>
        <c:axPos val="r"/>
        <c:numFmt formatCode="0.0" sourceLinked="1"/>
        <c:majorTickMark val="out"/>
        <c:minorTickMark val="none"/>
        <c:tickLblPos val="none"/>
        <c:spPr>
          <a:ln>
            <a:noFill/>
          </a:ln>
        </c:spPr>
        <c:crossAx val="1177735768"/>
        <c:crosses val="max"/>
        <c:crossBetween val="between"/>
      </c:valAx>
      <c:catAx>
        <c:axId val="1177735768"/>
        <c:scaling>
          <c:orientation val="minMax"/>
        </c:scaling>
        <c:delete val="1"/>
        <c:axPos val="b"/>
        <c:numFmt formatCode="General" sourceLinked="1"/>
        <c:majorTickMark val="out"/>
        <c:minorTickMark val="none"/>
        <c:tickLblPos val="nextTo"/>
        <c:crossAx val="117774674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E62B-409B-9EF1-D20B1FD5E390}"/>
              </c:ext>
            </c:extLst>
          </c:dPt>
          <c:dPt>
            <c:idx val="4"/>
            <c:invertIfNegative val="0"/>
            <c:bubble3D val="0"/>
            <c:spPr>
              <a:solidFill>
                <a:srgbClr val="3562A8"/>
              </a:solidFill>
            </c:spPr>
            <c:extLst>
              <c:ext xmlns:c16="http://schemas.microsoft.com/office/drawing/2014/chart" uri="{C3380CC4-5D6E-409C-BE32-E72D297353CC}">
                <c16:uniqueId val="{00000003-E62B-409B-9EF1-D20B1FD5E390}"/>
              </c:ext>
            </c:extLst>
          </c:dPt>
          <c:dPt>
            <c:idx val="8"/>
            <c:invertIfNegative val="0"/>
            <c:bubble3D val="0"/>
            <c:spPr>
              <a:solidFill>
                <a:srgbClr val="FA7800"/>
              </a:solidFill>
            </c:spPr>
            <c:extLst>
              <c:ext xmlns:c16="http://schemas.microsoft.com/office/drawing/2014/chart" uri="{C3380CC4-5D6E-409C-BE32-E72D297353CC}">
                <c16:uniqueId val="{00000005-E62B-409B-9EF1-D20B1FD5E390}"/>
              </c:ext>
            </c:extLst>
          </c:dPt>
          <c:dPt>
            <c:idx val="9"/>
            <c:invertIfNegative val="0"/>
            <c:bubble3D val="0"/>
            <c:extLst>
              <c:ext xmlns:c16="http://schemas.microsoft.com/office/drawing/2014/chart" uri="{C3380CC4-5D6E-409C-BE32-E72D297353CC}">
                <c16:uniqueId val="{00000006-E62B-409B-9EF1-D20B1FD5E390}"/>
              </c:ext>
            </c:extLst>
          </c:dPt>
          <c:dLbls>
            <c:dLbl>
              <c:idx val="1"/>
              <c:delete val="1"/>
              <c:extLst>
                <c:ext xmlns:c15="http://schemas.microsoft.com/office/drawing/2012/chart" uri="{CE6537A1-D6FC-4f65-9D91-7224C49458BB}"/>
                <c:ext xmlns:c16="http://schemas.microsoft.com/office/drawing/2014/chart" uri="{C3380CC4-5D6E-409C-BE32-E72D297353CC}">
                  <c16:uniqueId val="{00000007-E62B-409B-9EF1-D20B1FD5E390}"/>
                </c:ext>
              </c:extLst>
            </c:dLbl>
            <c:dLbl>
              <c:idx val="2"/>
              <c:delete val="1"/>
              <c:extLst>
                <c:ext xmlns:c15="http://schemas.microsoft.com/office/drawing/2012/chart" uri="{CE6537A1-D6FC-4f65-9D91-7224C49458BB}"/>
                <c:ext xmlns:c16="http://schemas.microsoft.com/office/drawing/2014/chart" uri="{C3380CC4-5D6E-409C-BE32-E72D297353CC}">
                  <c16:uniqueId val="{00000008-E62B-409B-9EF1-D20B1FD5E390}"/>
                </c:ext>
              </c:extLst>
            </c:dLbl>
            <c:dLbl>
              <c:idx val="3"/>
              <c:delete val="1"/>
              <c:extLst>
                <c:ext xmlns:c15="http://schemas.microsoft.com/office/drawing/2012/chart" uri="{CE6537A1-D6FC-4f65-9D91-7224C49458BB}"/>
                <c:ext xmlns:c16="http://schemas.microsoft.com/office/drawing/2014/chart" uri="{C3380CC4-5D6E-409C-BE32-E72D297353CC}">
                  <c16:uniqueId val="{00000009-E62B-409B-9EF1-D20B1FD5E390}"/>
                </c:ext>
              </c:extLst>
            </c:dLbl>
            <c:dLbl>
              <c:idx val="5"/>
              <c:delete val="1"/>
              <c:extLst>
                <c:ext xmlns:c15="http://schemas.microsoft.com/office/drawing/2012/chart" uri="{CE6537A1-D6FC-4f65-9D91-7224C49458BB}"/>
                <c:ext xmlns:c16="http://schemas.microsoft.com/office/drawing/2014/chart" uri="{C3380CC4-5D6E-409C-BE32-E72D297353CC}">
                  <c16:uniqueId val="{0000000A-E62B-409B-9EF1-D20B1FD5E390}"/>
                </c:ext>
              </c:extLst>
            </c:dLbl>
            <c:dLbl>
              <c:idx val="6"/>
              <c:delete val="1"/>
              <c:extLst>
                <c:ext xmlns:c15="http://schemas.microsoft.com/office/drawing/2012/chart" uri="{CE6537A1-D6FC-4f65-9D91-7224C49458BB}"/>
                <c:ext xmlns:c16="http://schemas.microsoft.com/office/drawing/2014/chart" uri="{C3380CC4-5D6E-409C-BE32-E72D297353CC}">
                  <c16:uniqueId val="{0000000B-E62B-409B-9EF1-D20B1FD5E390}"/>
                </c:ext>
              </c:extLst>
            </c:dLbl>
            <c:dLbl>
              <c:idx val="7"/>
              <c:delete val="1"/>
              <c:extLst>
                <c:ext xmlns:c15="http://schemas.microsoft.com/office/drawing/2012/chart" uri="{CE6537A1-D6FC-4f65-9D91-7224C49458BB}"/>
                <c:ext xmlns:c16="http://schemas.microsoft.com/office/drawing/2014/chart" uri="{C3380CC4-5D6E-409C-BE32-E72D297353CC}">
                  <c16:uniqueId val="{0000000C-E62B-409B-9EF1-D20B1FD5E390}"/>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E62B-409B-9EF1-D20B1FD5E390}"/>
            </c:ext>
          </c:extLst>
        </c:ser>
        <c:dLbls>
          <c:showLegendKey val="0"/>
          <c:showVal val="0"/>
          <c:showCatName val="0"/>
          <c:showSerName val="0"/>
          <c:showPercent val="0"/>
          <c:showBubbleSize val="0"/>
        </c:dLbls>
        <c:gapWidth val="40"/>
        <c:axId val="1181020664"/>
        <c:axId val="1181015176"/>
      </c:barChart>
      <c:catAx>
        <c:axId val="1181020664"/>
        <c:scaling>
          <c:orientation val="minMax"/>
        </c:scaling>
        <c:delete val="0"/>
        <c:axPos val="b"/>
        <c:numFmt formatCode="General" sourceLinked="1"/>
        <c:majorTickMark val="none"/>
        <c:minorTickMark val="none"/>
        <c:tickLblPos val="none"/>
        <c:spPr>
          <a:ln w="31750">
            <a:solidFill>
              <a:schemeClr val="tx1"/>
            </a:solidFill>
          </a:ln>
        </c:spPr>
        <c:crossAx val="1181015176"/>
        <c:crosses val="autoZero"/>
        <c:auto val="1"/>
        <c:lblAlgn val="ctr"/>
        <c:lblOffset val="0"/>
        <c:noMultiLvlLbl val="0"/>
      </c:catAx>
      <c:valAx>
        <c:axId val="1181015176"/>
        <c:scaling>
          <c:orientation val="minMax"/>
          <c:max val="100"/>
          <c:min val="0"/>
        </c:scaling>
        <c:delete val="1"/>
        <c:axPos val="l"/>
        <c:numFmt formatCode="0.0" sourceLinked="1"/>
        <c:majorTickMark val="out"/>
        <c:minorTickMark val="none"/>
        <c:tickLblPos val="nextTo"/>
        <c:crossAx val="11810206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782B-4D9D-84D7-F3B13E56A1E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782B-4D9D-84D7-F3B13E56A1E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782B-4D9D-84D7-F3B13E56A1E1}"/>
              </c:ext>
            </c:extLst>
          </c:dPt>
          <c:dPt>
            <c:idx val="4"/>
            <c:invertIfNegative val="0"/>
            <c:bubble3D val="0"/>
            <c:extLst>
              <c:ext xmlns:c16="http://schemas.microsoft.com/office/drawing/2014/chart" uri="{C3380CC4-5D6E-409C-BE32-E72D297353CC}">
                <c16:uniqueId val="{00000006-782B-4D9D-84D7-F3B13E56A1E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782B-4D9D-84D7-F3B13E56A1E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782B-4D9D-84D7-F3B13E56A1E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782B-4D9D-84D7-F3B13E56A1E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782B-4D9D-84D7-F3B13E56A1E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782B-4D9D-84D7-F3B13E56A1E1}"/>
              </c:ext>
            </c:extLst>
          </c:dPt>
          <c:dLbls>
            <c:dLbl>
              <c:idx val="0"/>
              <c:delete val="1"/>
              <c:extLst>
                <c:ext xmlns:c15="http://schemas.microsoft.com/office/drawing/2012/chart" uri="{CE6537A1-D6FC-4f65-9D91-7224C49458BB}"/>
                <c:ext xmlns:c16="http://schemas.microsoft.com/office/drawing/2014/chart" uri="{C3380CC4-5D6E-409C-BE32-E72D297353CC}">
                  <c16:uniqueId val="{00000011-782B-4D9D-84D7-F3B13E56A1E1}"/>
                </c:ext>
              </c:extLst>
            </c:dLbl>
            <c:dLbl>
              <c:idx val="1"/>
              <c:delete val="1"/>
              <c:extLst>
                <c:ext xmlns:c15="http://schemas.microsoft.com/office/drawing/2012/chart" uri="{CE6537A1-D6FC-4f65-9D91-7224C49458BB}"/>
                <c:ext xmlns:c16="http://schemas.microsoft.com/office/drawing/2014/chart" uri="{C3380CC4-5D6E-409C-BE32-E72D297353CC}">
                  <c16:uniqueId val="{00000001-782B-4D9D-84D7-F3B13E56A1E1}"/>
                </c:ext>
              </c:extLst>
            </c:dLbl>
            <c:dLbl>
              <c:idx val="2"/>
              <c:delete val="1"/>
              <c:extLst>
                <c:ext xmlns:c15="http://schemas.microsoft.com/office/drawing/2012/chart" uri="{CE6537A1-D6FC-4f65-9D91-7224C49458BB}"/>
                <c:ext xmlns:c16="http://schemas.microsoft.com/office/drawing/2014/chart" uri="{C3380CC4-5D6E-409C-BE32-E72D297353CC}">
                  <c16:uniqueId val="{00000003-782B-4D9D-84D7-F3B13E56A1E1}"/>
                </c:ext>
              </c:extLst>
            </c:dLbl>
            <c:dLbl>
              <c:idx val="3"/>
              <c:delete val="1"/>
              <c:extLst>
                <c:ext xmlns:c15="http://schemas.microsoft.com/office/drawing/2012/chart" uri="{CE6537A1-D6FC-4f65-9D91-7224C49458BB}"/>
                <c:ext xmlns:c16="http://schemas.microsoft.com/office/drawing/2014/chart" uri="{C3380CC4-5D6E-409C-BE32-E72D297353CC}">
                  <c16:uniqueId val="{00000005-782B-4D9D-84D7-F3B13E56A1E1}"/>
                </c:ext>
              </c:extLst>
            </c:dLbl>
            <c:dLbl>
              <c:idx val="5"/>
              <c:delete val="1"/>
              <c:extLst>
                <c:ext xmlns:c15="http://schemas.microsoft.com/office/drawing/2012/chart" uri="{CE6537A1-D6FC-4f65-9D91-7224C49458BB}"/>
                <c:ext xmlns:c16="http://schemas.microsoft.com/office/drawing/2014/chart" uri="{C3380CC4-5D6E-409C-BE32-E72D297353CC}">
                  <c16:uniqueId val="{00000008-782B-4D9D-84D7-F3B13E56A1E1}"/>
                </c:ext>
              </c:extLst>
            </c:dLbl>
            <c:dLbl>
              <c:idx val="6"/>
              <c:delete val="1"/>
              <c:extLst>
                <c:ext xmlns:c15="http://schemas.microsoft.com/office/drawing/2012/chart" uri="{CE6537A1-D6FC-4f65-9D91-7224C49458BB}"/>
                <c:ext xmlns:c16="http://schemas.microsoft.com/office/drawing/2014/chart" uri="{C3380CC4-5D6E-409C-BE32-E72D297353CC}">
                  <c16:uniqueId val="{0000000A-782B-4D9D-84D7-F3B13E56A1E1}"/>
                </c:ext>
              </c:extLst>
            </c:dLbl>
            <c:dLbl>
              <c:idx val="7"/>
              <c:delete val="1"/>
              <c:extLst>
                <c:ext xmlns:c15="http://schemas.microsoft.com/office/drawing/2012/chart" uri="{CE6537A1-D6FC-4f65-9D91-7224C49458BB}"/>
                <c:ext xmlns:c16="http://schemas.microsoft.com/office/drawing/2014/chart" uri="{C3380CC4-5D6E-409C-BE32-E72D297353CC}">
                  <c16:uniqueId val="{0000000C-782B-4D9D-84D7-F3B13E56A1E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782B-4D9D-84D7-F3B13E56A1E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782B-4D9D-84D7-F3B13E56A1E1}"/>
              </c:ext>
            </c:extLst>
          </c:dPt>
          <c:dPt>
            <c:idx val="3"/>
            <c:invertIfNegative val="0"/>
            <c:bubble3D val="0"/>
            <c:spPr>
              <a:noFill/>
              <a:ln w="19050">
                <a:solidFill>
                  <a:srgbClr val="87A4D4"/>
                </a:solidFill>
              </a:ln>
            </c:spPr>
            <c:extLst>
              <c:ext xmlns:c16="http://schemas.microsoft.com/office/drawing/2014/chart" uri="{C3380CC4-5D6E-409C-BE32-E72D297353CC}">
                <c16:uniqueId val="{00000016-782B-4D9D-84D7-F3B13E56A1E1}"/>
              </c:ext>
            </c:extLst>
          </c:dPt>
          <c:dPt>
            <c:idx val="4"/>
            <c:invertIfNegative val="0"/>
            <c:bubble3D val="0"/>
            <c:extLst>
              <c:ext xmlns:c16="http://schemas.microsoft.com/office/drawing/2014/chart" uri="{C3380CC4-5D6E-409C-BE32-E72D297353CC}">
                <c16:uniqueId val="{00000017-782B-4D9D-84D7-F3B13E56A1E1}"/>
              </c:ext>
            </c:extLst>
          </c:dPt>
          <c:dPt>
            <c:idx val="5"/>
            <c:invertIfNegative val="0"/>
            <c:bubble3D val="0"/>
            <c:spPr>
              <a:noFill/>
              <a:ln w="19050">
                <a:solidFill>
                  <a:srgbClr val="87A4D4"/>
                </a:solidFill>
              </a:ln>
            </c:spPr>
            <c:extLst>
              <c:ext xmlns:c16="http://schemas.microsoft.com/office/drawing/2014/chart" uri="{C3380CC4-5D6E-409C-BE32-E72D297353CC}">
                <c16:uniqueId val="{00000019-782B-4D9D-84D7-F3B13E56A1E1}"/>
              </c:ext>
            </c:extLst>
          </c:dPt>
          <c:dPt>
            <c:idx val="6"/>
            <c:invertIfNegative val="0"/>
            <c:bubble3D val="0"/>
            <c:spPr>
              <a:noFill/>
              <a:ln w="19050">
                <a:solidFill>
                  <a:srgbClr val="87A4D4"/>
                </a:solidFill>
              </a:ln>
            </c:spPr>
            <c:extLst>
              <c:ext xmlns:c16="http://schemas.microsoft.com/office/drawing/2014/chart" uri="{C3380CC4-5D6E-409C-BE32-E72D297353CC}">
                <c16:uniqueId val="{0000001B-782B-4D9D-84D7-F3B13E56A1E1}"/>
              </c:ext>
            </c:extLst>
          </c:dPt>
          <c:dPt>
            <c:idx val="7"/>
            <c:invertIfNegative val="0"/>
            <c:bubble3D val="0"/>
            <c:spPr>
              <a:noFill/>
              <a:ln w="19050">
                <a:solidFill>
                  <a:srgbClr val="87A4D4"/>
                </a:solidFill>
              </a:ln>
            </c:spPr>
            <c:extLst>
              <c:ext xmlns:c16="http://schemas.microsoft.com/office/drawing/2014/chart" uri="{C3380CC4-5D6E-409C-BE32-E72D297353CC}">
                <c16:uniqueId val="{0000001D-782B-4D9D-84D7-F3B13E56A1E1}"/>
              </c:ext>
            </c:extLst>
          </c:dPt>
          <c:dPt>
            <c:idx val="8"/>
            <c:invertIfNegative val="0"/>
            <c:bubble3D val="0"/>
            <c:spPr>
              <a:noFill/>
              <a:ln w="19050">
                <a:solidFill>
                  <a:srgbClr val="FA7800"/>
                </a:solidFill>
              </a:ln>
            </c:spPr>
            <c:extLst>
              <c:ext xmlns:c16="http://schemas.microsoft.com/office/drawing/2014/chart" uri="{C3380CC4-5D6E-409C-BE32-E72D297353CC}">
                <c16:uniqueId val="{0000001F-782B-4D9D-84D7-F3B13E56A1E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782B-4D9D-84D7-F3B13E56A1E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782B-4D9D-84D7-F3B13E56A1E1}"/>
                </c:ext>
              </c:extLst>
            </c:dLbl>
            <c:dLbl>
              <c:idx val="2"/>
              <c:delete val="1"/>
              <c:extLst>
                <c:ext xmlns:c15="http://schemas.microsoft.com/office/drawing/2012/chart" uri="{CE6537A1-D6FC-4f65-9D91-7224C49458BB}"/>
                <c:ext xmlns:c16="http://schemas.microsoft.com/office/drawing/2014/chart" uri="{C3380CC4-5D6E-409C-BE32-E72D297353CC}">
                  <c16:uniqueId val="{00000022-782B-4D9D-84D7-F3B13E56A1E1}"/>
                </c:ext>
              </c:extLst>
            </c:dLbl>
            <c:dLbl>
              <c:idx val="3"/>
              <c:delete val="1"/>
              <c:extLst>
                <c:ext xmlns:c15="http://schemas.microsoft.com/office/drawing/2012/chart" uri="{CE6537A1-D6FC-4f65-9D91-7224C49458BB}"/>
                <c:ext xmlns:c16="http://schemas.microsoft.com/office/drawing/2014/chart" uri="{C3380CC4-5D6E-409C-BE32-E72D297353CC}">
                  <c16:uniqueId val="{00000023-782B-4D9D-84D7-F3B13E56A1E1}"/>
                </c:ext>
              </c:extLst>
            </c:dLbl>
            <c:dLbl>
              <c:idx val="5"/>
              <c:delete val="1"/>
              <c:extLst>
                <c:ext xmlns:c15="http://schemas.microsoft.com/office/drawing/2012/chart" uri="{CE6537A1-D6FC-4f65-9D91-7224C49458BB}"/>
                <c:ext xmlns:c16="http://schemas.microsoft.com/office/drawing/2014/chart" uri="{C3380CC4-5D6E-409C-BE32-E72D297353CC}">
                  <c16:uniqueId val="{00000024-782B-4D9D-84D7-F3B13E56A1E1}"/>
                </c:ext>
              </c:extLst>
            </c:dLbl>
            <c:dLbl>
              <c:idx val="6"/>
              <c:delete val="1"/>
              <c:extLst>
                <c:ext xmlns:c15="http://schemas.microsoft.com/office/drawing/2012/chart" uri="{CE6537A1-D6FC-4f65-9D91-7224C49458BB}"/>
                <c:ext xmlns:c16="http://schemas.microsoft.com/office/drawing/2014/chart" uri="{C3380CC4-5D6E-409C-BE32-E72D297353CC}">
                  <c16:uniqueId val="{00000025-782B-4D9D-84D7-F3B13E56A1E1}"/>
                </c:ext>
              </c:extLst>
            </c:dLbl>
            <c:dLbl>
              <c:idx val="7"/>
              <c:delete val="1"/>
              <c:extLst>
                <c:ext xmlns:c15="http://schemas.microsoft.com/office/drawing/2012/chart" uri="{CE6537A1-D6FC-4f65-9D91-7224C49458BB}"/>
                <c:ext xmlns:c16="http://schemas.microsoft.com/office/drawing/2014/chart" uri="{C3380CC4-5D6E-409C-BE32-E72D297353CC}">
                  <c16:uniqueId val="{00000026-782B-4D9D-84D7-F3B13E56A1E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782B-4D9D-84D7-F3B13E56A1E1}"/>
            </c:ext>
          </c:extLst>
        </c:ser>
        <c:dLbls>
          <c:showLegendKey val="0"/>
          <c:showVal val="0"/>
          <c:showCatName val="0"/>
          <c:showSerName val="0"/>
          <c:showPercent val="0"/>
          <c:showBubbleSize val="0"/>
        </c:dLbls>
        <c:gapWidth val="40"/>
        <c:overlap val="100"/>
        <c:axId val="1181014000"/>
        <c:axId val="1181019488"/>
      </c:barChart>
      <c:catAx>
        <c:axId val="1181014000"/>
        <c:scaling>
          <c:orientation val="minMax"/>
        </c:scaling>
        <c:delete val="0"/>
        <c:axPos val="b"/>
        <c:numFmt formatCode="General" sourceLinked="1"/>
        <c:majorTickMark val="none"/>
        <c:minorTickMark val="none"/>
        <c:tickLblPos val="none"/>
        <c:spPr>
          <a:ln w="31750">
            <a:solidFill>
              <a:schemeClr val="tx1"/>
            </a:solidFill>
          </a:ln>
        </c:spPr>
        <c:crossAx val="1181019488"/>
        <c:crosses val="autoZero"/>
        <c:auto val="1"/>
        <c:lblAlgn val="ctr"/>
        <c:lblOffset val="0"/>
        <c:noMultiLvlLbl val="0"/>
      </c:catAx>
      <c:valAx>
        <c:axId val="1181019488"/>
        <c:scaling>
          <c:orientation val="minMax"/>
          <c:max val="140"/>
          <c:min val="0"/>
        </c:scaling>
        <c:delete val="1"/>
        <c:axPos val="l"/>
        <c:numFmt formatCode="0" sourceLinked="1"/>
        <c:majorTickMark val="out"/>
        <c:minorTickMark val="none"/>
        <c:tickLblPos val="nextTo"/>
        <c:crossAx val="118101400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54DE-47B8-933F-B41C6AEEFE64}"/>
              </c:ext>
            </c:extLst>
          </c:dPt>
          <c:dPt>
            <c:idx val="4"/>
            <c:invertIfNegative val="0"/>
            <c:bubble3D val="0"/>
            <c:spPr>
              <a:solidFill>
                <a:srgbClr val="3562A8"/>
              </a:solidFill>
            </c:spPr>
            <c:extLst>
              <c:ext xmlns:c16="http://schemas.microsoft.com/office/drawing/2014/chart" uri="{C3380CC4-5D6E-409C-BE32-E72D297353CC}">
                <c16:uniqueId val="{00000003-54DE-47B8-933F-B41C6AEEFE64}"/>
              </c:ext>
            </c:extLst>
          </c:dPt>
          <c:dPt>
            <c:idx val="8"/>
            <c:invertIfNegative val="0"/>
            <c:bubble3D val="0"/>
            <c:spPr>
              <a:solidFill>
                <a:srgbClr val="FA7800"/>
              </a:solidFill>
            </c:spPr>
            <c:extLst>
              <c:ext xmlns:c16="http://schemas.microsoft.com/office/drawing/2014/chart" uri="{C3380CC4-5D6E-409C-BE32-E72D297353CC}">
                <c16:uniqueId val="{00000005-54DE-47B8-933F-B41C6AEEFE64}"/>
              </c:ext>
            </c:extLst>
          </c:dPt>
          <c:dPt>
            <c:idx val="9"/>
            <c:invertIfNegative val="0"/>
            <c:bubble3D val="0"/>
            <c:extLst>
              <c:ext xmlns:c16="http://schemas.microsoft.com/office/drawing/2014/chart" uri="{C3380CC4-5D6E-409C-BE32-E72D297353CC}">
                <c16:uniqueId val="{00000006-54DE-47B8-933F-B41C6AEEFE64}"/>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DE-47B8-933F-B41C6AEEFE64}"/>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DE-47B8-933F-B41C6AEEFE64}"/>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DE-47B8-933F-B41C6AEEFE64}"/>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DE-47B8-933F-B41C6AEEFE64}"/>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DE-47B8-933F-B41C6AEEFE64}"/>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DE-47B8-933F-B41C6AEEFE64}"/>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DE-47B8-933F-B41C6AEEFE64}"/>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DE-47B8-933F-B41C6AEEFE64}"/>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DE-47B8-933F-B41C6AEEFE64}"/>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DE-47B8-933F-B41C6AEEFE64}"/>
            </c:ext>
          </c:extLst>
        </c:ser>
        <c:dLbls>
          <c:showLegendKey val="0"/>
          <c:showVal val="0"/>
          <c:showCatName val="0"/>
          <c:showSerName val="0"/>
          <c:showPercent val="0"/>
          <c:showBubbleSize val="0"/>
        </c:dLbls>
        <c:gapWidth val="50"/>
        <c:axId val="1181012432"/>
        <c:axId val="1181021056"/>
      </c:barChart>
      <c:dateAx>
        <c:axId val="118101243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81021056"/>
        <c:crosses val="autoZero"/>
        <c:auto val="0"/>
        <c:lblOffset val="0"/>
        <c:baseTimeUnit val="days"/>
      </c:dateAx>
      <c:valAx>
        <c:axId val="1181021056"/>
        <c:scaling>
          <c:orientation val="minMax"/>
          <c:max val="100"/>
          <c:min val="0"/>
        </c:scaling>
        <c:delete val="1"/>
        <c:axPos val="l"/>
        <c:numFmt formatCode="0.0" sourceLinked="1"/>
        <c:majorTickMark val="out"/>
        <c:minorTickMark val="none"/>
        <c:tickLblPos val="nextTo"/>
        <c:crossAx val="1181012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2D7D-4D2B-86B9-560155F093BE}"/>
              </c:ext>
            </c:extLst>
          </c:dPt>
          <c:dPt>
            <c:idx val="4"/>
            <c:invertIfNegative val="0"/>
            <c:bubble3D val="0"/>
            <c:spPr>
              <a:solidFill>
                <a:srgbClr val="3562A8"/>
              </a:solidFill>
            </c:spPr>
            <c:extLst>
              <c:ext xmlns:c16="http://schemas.microsoft.com/office/drawing/2014/chart" uri="{C3380CC4-5D6E-409C-BE32-E72D297353CC}">
                <c16:uniqueId val="{00000003-2D7D-4D2B-86B9-560155F093BE}"/>
              </c:ext>
            </c:extLst>
          </c:dPt>
          <c:dPt>
            <c:idx val="8"/>
            <c:invertIfNegative val="0"/>
            <c:bubble3D val="0"/>
            <c:spPr>
              <a:solidFill>
                <a:srgbClr val="FA7800"/>
              </a:solidFill>
            </c:spPr>
            <c:extLst>
              <c:ext xmlns:c16="http://schemas.microsoft.com/office/drawing/2014/chart" uri="{C3380CC4-5D6E-409C-BE32-E72D297353CC}">
                <c16:uniqueId val="{00000005-2D7D-4D2B-86B9-560155F093BE}"/>
              </c:ext>
            </c:extLst>
          </c:dPt>
          <c:dPt>
            <c:idx val="9"/>
            <c:invertIfNegative val="0"/>
            <c:bubble3D val="0"/>
            <c:extLst>
              <c:ext xmlns:c16="http://schemas.microsoft.com/office/drawing/2014/chart" uri="{C3380CC4-5D6E-409C-BE32-E72D297353CC}">
                <c16:uniqueId val="{00000006-2D7D-4D2B-86B9-560155F093BE}"/>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2D7D-4D2B-86B9-560155F093BE}"/>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2D7D-4D2B-86B9-560155F093BE}"/>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2D7D-4D2B-86B9-560155F093BE}"/>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2D7D-4D2B-86B9-560155F093BE}"/>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2D7D-4D2B-86B9-560155F093BE}"/>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2D7D-4D2B-86B9-560155F093BE}"/>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2D7D-4D2B-86B9-560155F093BE}"/>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2D7D-4D2B-86B9-560155F093BE}"/>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2D7D-4D2B-86B9-560155F093BE}"/>
            </c:ext>
          </c:extLst>
        </c:ser>
        <c:dLbls>
          <c:showLegendKey val="0"/>
          <c:showVal val="1"/>
          <c:showCatName val="0"/>
          <c:showSerName val="0"/>
          <c:showPercent val="0"/>
          <c:showBubbleSize val="0"/>
        </c:dLbls>
        <c:gapWidth val="75"/>
        <c:axId val="1181021448"/>
        <c:axId val="1181021840"/>
      </c:barChart>
      <c:dateAx>
        <c:axId val="118102144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81021840"/>
        <c:crosses val="autoZero"/>
        <c:auto val="0"/>
        <c:lblOffset val="0"/>
        <c:baseTimeUnit val="days"/>
      </c:dateAx>
      <c:valAx>
        <c:axId val="1181021840"/>
        <c:scaling>
          <c:orientation val="minMax"/>
        </c:scaling>
        <c:delete val="0"/>
        <c:axPos val="l"/>
        <c:numFmt formatCode="General" sourceLinked="1"/>
        <c:majorTickMark val="none"/>
        <c:minorTickMark val="none"/>
        <c:tickLblPos val="none"/>
        <c:spPr>
          <a:ln>
            <a:noFill/>
          </a:ln>
        </c:spPr>
        <c:crossAx val="118102144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150-440C-9B92-3A395D95CB88}"/>
              </c:ext>
            </c:extLst>
          </c:dPt>
          <c:dPt>
            <c:idx val="4"/>
            <c:invertIfNegative val="0"/>
            <c:bubble3D val="0"/>
            <c:spPr>
              <a:solidFill>
                <a:srgbClr val="3562A8"/>
              </a:solidFill>
            </c:spPr>
            <c:extLst>
              <c:ext xmlns:c16="http://schemas.microsoft.com/office/drawing/2014/chart" uri="{C3380CC4-5D6E-409C-BE32-E72D297353CC}">
                <c16:uniqueId val="{00000003-3150-440C-9B92-3A395D95CB88}"/>
              </c:ext>
            </c:extLst>
          </c:dPt>
          <c:dPt>
            <c:idx val="8"/>
            <c:invertIfNegative val="0"/>
            <c:bubble3D val="0"/>
            <c:spPr>
              <a:solidFill>
                <a:srgbClr val="FA7800"/>
              </a:solidFill>
            </c:spPr>
            <c:extLst>
              <c:ext xmlns:c16="http://schemas.microsoft.com/office/drawing/2014/chart" uri="{C3380CC4-5D6E-409C-BE32-E72D297353CC}">
                <c16:uniqueId val="{00000005-3150-440C-9B92-3A395D95CB88}"/>
              </c:ext>
            </c:extLst>
          </c:dPt>
          <c:dPt>
            <c:idx val="9"/>
            <c:invertIfNegative val="0"/>
            <c:bubble3D val="0"/>
            <c:extLst>
              <c:ext xmlns:c16="http://schemas.microsoft.com/office/drawing/2014/chart" uri="{C3380CC4-5D6E-409C-BE32-E72D297353CC}">
                <c16:uniqueId val="{00000006-3150-440C-9B92-3A395D95CB88}"/>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50-440C-9B92-3A395D95CB88}"/>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50-440C-9B92-3A395D95CB88}"/>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50-440C-9B92-3A395D95CB88}"/>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50-440C-9B92-3A395D95CB88}"/>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50-440C-9B92-3A395D95CB88}"/>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50-440C-9B92-3A395D95CB88}"/>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50-440C-9B92-3A395D95CB88}"/>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50-440C-9B92-3A395D95CB88}"/>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50-440C-9B92-3A395D95CB88}"/>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150-440C-9B92-3A395D95CB88}"/>
            </c:ext>
          </c:extLst>
        </c:ser>
        <c:dLbls>
          <c:showLegendKey val="0"/>
          <c:showVal val="1"/>
          <c:showCatName val="0"/>
          <c:showSerName val="0"/>
          <c:showPercent val="0"/>
          <c:showBubbleSize val="0"/>
        </c:dLbls>
        <c:gapWidth val="75"/>
        <c:axId val="1181022624"/>
        <c:axId val="1181023016"/>
      </c:barChart>
      <c:dateAx>
        <c:axId val="11810226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81023016"/>
        <c:crosses val="autoZero"/>
        <c:auto val="0"/>
        <c:lblOffset val="0"/>
        <c:baseTimeUnit val="days"/>
      </c:dateAx>
      <c:valAx>
        <c:axId val="1181023016"/>
        <c:scaling>
          <c:orientation val="minMax"/>
        </c:scaling>
        <c:delete val="0"/>
        <c:axPos val="l"/>
        <c:numFmt formatCode="General" sourceLinked="1"/>
        <c:majorTickMark val="none"/>
        <c:minorTickMark val="none"/>
        <c:tickLblPos val="none"/>
        <c:spPr>
          <a:ln>
            <a:noFill/>
          </a:ln>
        </c:spPr>
        <c:crossAx val="118102262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B67-46ED-A8C5-98A9C677291C}"/>
            </c:ext>
          </c:extLst>
        </c:ser>
        <c:dLbls>
          <c:showLegendKey val="0"/>
          <c:showVal val="0"/>
          <c:showCatName val="0"/>
          <c:showSerName val="0"/>
          <c:showPercent val="0"/>
          <c:showBubbleSize val="0"/>
        </c:dLbls>
        <c:gapWidth val="100"/>
        <c:axId val="1181013608"/>
        <c:axId val="1181023408"/>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6B67-46ED-A8C5-98A9C677291C}"/>
            </c:ext>
          </c:extLst>
        </c:ser>
        <c:dLbls>
          <c:showLegendKey val="0"/>
          <c:showVal val="0"/>
          <c:showCatName val="0"/>
          <c:showSerName val="0"/>
          <c:showPercent val="0"/>
          <c:showBubbleSize val="0"/>
        </c:dLbls>
        <c:marker val="1"/>
        <c:smooth val="0"/>
        <c:axId val="1181012040"/>
        <c:axId val="1181024192"/>
      </c:lineChart>
      <c:catAx>
        <c:axId val="118101360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1181023408"/>
        <c:crosses val="autoZero"/>
        <c:auto val="1"/>
        <c:lblAlgn val="ctr"/>
        <c:lblOffset val="100"/>
        <c:noMultiLvlLbl val="0"/>
      </c:catAx>
      <c:valAx>
        <c:axId val="1181023408"/>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1181013608"/>
        <c:crosses val="autoZero"/>
        <c:crossBetween val="between"/>
        <c:majorUnit val="500"/>
      </c:valAx>
      <c:valAx>
        <c:axId val="118102419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1181012040"/>
        <c:crosses val="max"/>
        <c:crossBetween val="between"/>
      </c:valAx>
      <c:catAx>
        <c:axId val="1181012040"/>
        <c:scaling>
          <c:orientation val="minMax"/>
        </c:scaling>
        <c:delete val="1"/>
        <c:axPos val="b"/>
        <c:numFmt formatCode="General" sourceLinked="1"/>
        <c:majorTickMark val="out"/>
        <c:minorTickMark val="none"/>
        <c:tickLblPos val="none"/>
        <c:crossAx val="118102419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D0B4-47FE-BF7A-1038DC531258}"/>
              </c:ext>
            </c:extLst>
          </c:dPt>
          <c:dPt>
            <c:idx val="1"/>
            <c:invertIfNegative val="0"/>
            <c:bubble3D val="0"/>
            <c:spPr>
              <a:solidFill>
                <a:srgbClr val="87A4D4"/>
              </a:solidFill>
            </c:spPr>
            <c:extLst>
              <c:ext xmlns:c16="http://schemas.microsoft.com/office/drawing/2014/chart" uri="{C3380CC4-5D6E-409C-BE32-E72D297353CC}">
                <c16:uniqueId val="{00000002-D0B4-47FE-BF7A-1038DC531258}"/>
              </c:ext>
            </c:extLst>
          </c:dPt>
          <c:dPt>
            <c:idx val="2"/>
            <c:invertIfNegative val="0"/>
            <c:bubble3D val="0"/>
            <c:spPr>
              <a:solidFill>
                <a:srgbClr val="87A4D4"/>
              </a:solidFill>
            </c:spPr>
            <c:extLst>
              <c:ext xmlns:c16="http://schemas.microsoft.com/office/drawing/2014/chart" uri="{C3380CC4-5D6E-409C-BE32-E72D297353CC}">
                <c16:uniqueId val="{00000004-D0B4-47FE-BF7A-1038DC531258}"/>
              </c:ext>
            </c:extLst>
          </c:dPt>
          <c:dPt>
            <c:idx val="3"/>
            <c:invertIfNegative val="0"/>
            <c:bubble3D val="0"/>
            <c:spPr>
              <a:solidFill>
                <a:srgbClr val="87A4D4"/>
              </a:solidFill>
            </c:spPr>
            <c:extLst>
              <c:ext xmlns:c16="http://schemas.microsoft.com/office/drawing/2014/chart" uri="{C3380CC4-5D6E-409C-BE32-E72D297353CC}">
                <c16:uniqueId val="{00000006-D0B4-47FE-BF7A-1038DC531258}"/>
              </c:ext>
            </c:extLst>
          </c:dPt>
          <c:dPt>
            <c:idx val="4"/>
            <c:invertIfNegative val="0"/>
            <c:bubble3D val="0"/>
            <c:extLst>
              <c:ext xmlns:c16="http://schemas.microsoft.com/office/drawing/2014/chart" uri="{C3380CC4-5D6E-409C-BE32-E72D297353CC}">
                <c16:uniqueId val="{00000007-D0B4-47FE-BF7A-1038DC531258}"/>
              </c:ext>
            </c:extLst>
          </c:dPt>
          <c:dPt>
            <c:idx val="5"/>
            <c:invertIfNegative val="0"/>
            <c:bubble3D val="0"/>
            <c:spPr>
              <a:solidFill>
                <a:srgbClr val="87A4D4"/>
              </a:solidFill>
            </c:spPr>
            <c:extLst>
              <c:ext xmlns:c16="http://schemas.microsoft.com/office/drawing/2014/chart" uri="{C3380CC4-5D6E-409C-BE32-E72D297353CC}">
                <c16:uniqueId val="{00000009-D0B4-47FE-BF7A-1038DC531258}"/>
              </c:ext>
            </c:extLst>
          </c:dPt>
          <c:dPt>
            <c:idx val="6"/>
            <c:invertIfNegative val="0"/>
            <c:bubble3D val="0"/>
            <c:spPr>
              <a:solidFill>
                <a:srgbClr val="87A4D4"/>
              </a:solidFill>
            </c:spPr>
            <c:extLst>
              <c:ext xmlns:c16="http://schemas.microsoft.com/office/drawing/2014/chart" uri="{C3380CC4-5D6E-409C-BE32-E72D297353CC}">
                <c16:uniqueId val="{0000000B-D0B4-47FE-BF7A-1038DC531258}"/>
              </c:ext>
            </c:extLst>
          </c:dPt>
          <c:dPt>
            <c:idx val="7"/>
            <c:invertIfNegative val="0"/>
            <c:bubble3D val="0"/>
            <c:spPr>
              <a:solidFill>
                <a:srgbClr val="87A4D4"/>
              </a:solidFill>
            </c:spPr>
            <c:extLst>
              <c:ext xmlns:c16="http://schemas.microsoft.com/office/drawing/2014/chart" uri="{C3380CC4-5D6E-409C-BE32-E72D297353CC}">
                <c16:uniqueId val="{0000000D-D0B4-47FE-BF7A-1038DC531258}"/>
              </c:ext>
            </c:extLst>
          </c:dPt>
          <c:dPt>
            <c:idx val="8"/>
            <c:invertIfNegative val="0"/>
            <c:bubble3D val="0"/>
            <c:extLst>
              <c:ext xmlns:c16="http://schemas.microsoft.com/office/drawing/2014/chart" uri="{C3380CC4-5D6E-409C-BE32-E72D297353CC}">
                <c16:uniqueId val="{0000000E-D0B4-47FE-BF7A-1038DC531258}"/>
              </c:ext>
            </c:extLst>
          </c:dPt>
          <c:dLbls>
            <c:dLbl>
              <c:idx val="1"/>
              <c:delete val="1"/>
              <c:extLst>
                <c:ext xmlns:c15="http://schemas.microsoft.com/office/drawing/2012/chart" uri="{CE6537A1-D6FC-4f65-9D91-7224C49458BB}"/>
                <c:ext xmlns:c16="http://schemas.microsoft.com/office/drawing/2014/chart" uri="{C3380CC4-5D6E-409C-BE32-E72D297353CC}">
                  <c16:uniqueId val="{00000002-D0B4-47FE-BF7A-1038DC531258}"/>
                </c:ext>
              </c:extLst>
            </c:dLbl>
            <c:dLbl>
              <c:idx val="2"/>
              <c:delete val="1"/>
              <c:extLst>
                <c:ext xmlns:c15="http://schemas.microsoft.com/office/drawing/2012/chart" uri="{CE6537A1-D6FC-4f65-9D91-7224C49458BB}"/>
                <c:ext xmlns:c16="http://schemas.microsoft.com/office/drawing/2014/chart" uri="{C3380CC4-5D6E-409C-BE32-E72D297353CC}">
                  <c16:uniqueId val="{00000004-D0B4-47FE-BF7A-1038DC531258}"/>
                </c:ext>
              </c:extLst>
            </c:dLbl>
            <c:dLbl>
              <c:idx val="3"/>
              <c:delete val="1"/>
              <c:extLst>
                <c:ext xmlns:c15="http://schemas.microsoft.com/office/drawing/2012/chart" uri="{CE6537A1-D6FC-4f65-9D91-7224C49458BB}"/>
                <c:ext xmlns:c16="http://schemas.microsoft.com/office/drawing/2014/chart" uri="{C3380CC4-5D6E-409C-BE32-E72D297353CC}">
                  <c16:uniqueId val="{00000006-D0B4-47FE-BF7A-1038DC531258}"/>
                </c:ext>
              </c:extLst>
            </c:dLbl>
            <c:dLbl>
              <c:idx val="5"/>
              <c:delete val="1"/>
              <c:extLst>
                <c:ext xmlns:c15="http://schemas.microsoft.com/office/drawing/2012/chart" uri="{CE6537A1-D6FC-4f65-9D91-7224C49458BB}"/>
                <c:ext xmlns:c16="http://schemas.microsoft.com/office/drawing/2014/chart" uri="{C3380CC4-5D6E-409C-BE32-E72D297353CC}">
                  <c16:uniqueId val="{00000009-D0B4-47FE-BF7A-1038DC531258}"/>
                </c:ext>
              </c:extLst>
            </c:dLbl>
            <c:dLbl>
              <c:idx val="6"/>
              <c:delete val="1"/>
              <c:extLst>
                <c:ext xmlns:c15="http://schemas.microsoft.com/office/drawing/2012/chart" uri="{CE6537A1-D6FC-4f65-9D91-7224C49458BB}"/>
                <c:ext xmlns:c16="http://schemas.microsoft.com/office/drawing/2014/chart" uri="{C3380CC4-5D6E-409C-BE32-E72D297353CC}">
                  <c16:uniqueId val="{0000000B-D0B4-47FE-BF7A-1038DC531258}"/>
                </c:ext>
              </c:extLst>
            </c:dLbl>
            <c:dLbl>
              <c:idx val="7"/>
              <c:delete val="1"/>
              <c:extLst>
                <c:ext xmlns:c15="http://schemas.microsoft.com/office/drawing/2012/chart" uri="{CE6537A1-D6FC-4f65-9D91-7224C49458BB}"/>
                <c:ext xmlns:c16="http://schemas.microsoft.com/office/drawing/2014/chart" uri="{C3380CC4-5D6E-409C-BE32-E72D297353CC}">
                  <c16:uniqueId val="{0000000D-D0B4-47FE-BF7A-1038DC531258}"/>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D0B4-47FE-BF7A-1038DC531258}"/>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D0B4-47FE-BF7A-1038DC531258}"/>
              </c:ext>
            </c:extLst>
          </c:dPt>
          <c:dPt>
            <c:idx val="1"/>
            <c:invertIfNegative val="0"/>
            <c:bubble3D val="0"/>
            <c:spPr>
              <a:solidFill>
                <a:schemeClr val="bg1">
                  <a:lumMod val="85000"/>
                </a:schemeClr>
              </a:solidFill>
            </c:spPr>
            <c:extLst>
              <c:ext xmlns:c16="http://schemas.microsoft.com/office/drawing/2014/chart" uri="{C3380CC4-5D6E-409C-BE32-E72D297353CC}">
                <c16:uniqueId val="{00000012-D0B4-47FE-BF7A-1038DC531258}"/>
              </c:ext>
            </c:extLst>
          </c:dPt>
          <c:dPt>
            <c:idx val="2"/>
            <c:invertIfNegative val="0"/>
            <c:bubble3D val="0"/>
            <c:spPr>
              <a:solidFill>
                <a:schemeClr val="bg1">
                  <a:lumMod val="85000"/>
                </a:schemeClr>
              </a:solidFill>
            </c:spPr>
            <c:extLst>
              <c:ext xmlns:c16="http://schemas.microsoft.com/office/drawing/2014/chart" uri="{C3380CC4-5D6E-409C-BE32-E72D297353CC}">
                <c16:uniqueId val="{00000014-D0B4-47FE-BF7A-1038DC531258}"/>
              </c:ext>
            </c:extLst>
          </c:dPt>
          <c:dPt>
            <c:idx val="3"/>
            <c:invertIfNegative val="0"/>
            <c:bubble3D val="0"/>
            <c:spPr>
              <a:solidFill>
                <a:schemeClr val="bg1">
                  <a:lumMod val="85000"/>
                </a:schemeClr>
              </a:solidFill>
            </c:spPr>
            <c:extLst>
              <c:ext xmlns:c16="http://schemas.microsoft.com/office/drawing/2014/chart" uri="{C3380CC4-5D6E-409C-BE32-E72D297353CC}">
                <c16:uniqueId val="{00000016-D0B4-47FE-BF7A-1038DC531258}"/>
              </c:ext>
            </c:extLst>
          </c:dPt>
          <c:dPt>
            <c:idx val="4"/>
            <c:invertIfNegative val="0"/>
            <c:bubble3D val="0"/>
            <c:extLst>
              <c:ext xmlns:c16="http://schemas.microsoft.com/office/drawing/2014/chart" uri="{C3380CC4-5D6E-409C-BE32-E72D297353CC}">
                <c16:uniqueId val="{00000017-D0B4-47FE-BF7A-1038DC531258}"/>
              </c:ext>
            </c:extLst>
          </c:dPt>
          <c:dPt>
            <c:idx val="5"/>
            <c:invertIfNegative val="0"/>
            <c:bubble3D val="0"/>
            <c:spPr>
              <a:solidFill>
                <a:schemeClr val="bg1">
                  <a:lumMod val="85000"/>
                </a:schemeClr>
              </a:solidFill>
            </c:spPr>
            <c:extLst>
              <c:ext xmlns:c16="http://schemas.microsoft.com/office/drawing/2014/chart" uri="{C3380CC4-5D6E-409C-BE32-E72D297353CC}">
                <c16:uniqueId val="{00000019-D0B4-47FE-BF7A-1038DC531258}"/>
              </c:ext>
            </c:extLst>
          </c:dPt>
          <c:dPt>
            <c:idx val="6"/>
            <c:invertIfNegative val="0"/>
            <c:bubble3D val="0"/>
            <c:spPr>
              <a:solidFill>
                <a:schemeClr val="bg1">
                  <a:lumMod val="85000"/>
                </a:schemeClr>
              </a:solidFill>
            </c:spPr>
            <c:extLst>
              <c:ext xmlns:c16="http://schemas.microsoft.com/office/drawing/2014/chart" uri="{C3380CC4-5D6E-409C-BE32-E72D297353CC}">
                <c16:uniqueId val="{0000001B-D0B4-47FE-BF7A-1038DC531258}"/>
              </c:ext>
            </c:extLst>
          </c:dPt>
          <c:dPt>
            <c:idx val="7"/>
            <c:invertIfNegative val="0"/>
            <c:bubble3D val="0"/>
            <c:spPr>
              <a:solidFill>
                <a:schemeClr val="bg1">
                  <a:lumMod val="85000"/>
                </a:schemeClr>
              </a:solidFill>
            </c:spPr>
            <c:extLst>
              <c:ext xmlns:c16="http://schemas.microsoft.com/office/drawing/2014/chart" uri="{C3380CC4-5D6E-409C-BE32-E72D297353CC}">
                <c16:uniqueId val="{0000001D-D0B4-47FE-BF7A-1038DC531258}"/>
              </c:ext>
            </c:extLst>
          </c:dPt>
          <c:dPt>
            <c:idx val="8"/>
            <c:invertIfNegative val="0"/>
            <c:bubble3D val="0"/>
            <c:extLst>
              <c:ext xmlns:c16="http://schemas.microsoft.com/office/drawing/2014/chart" uri="{C3380CC4-5D6E-409C-BE32-E72D297353CC}">
                <c16:uniqueId val="{0000001E-D0B4-47FE-BF7A-1038DC531258}"/>
              </c:ext>
            </c:extLst>
          </c:dPt>
          <c:dLbls>
            <c:dLbl>
              <c:idx val="1"/>
              <c:delete val="1"/>
              <c:extLst>
                <c:ext xmlns:c15="http://schemas.microsoft.com/office/drawing/2012/chart" uri="{CE6537A1-D6FC-4f65-9D91-7224C49458BB}"/>
                <c:ext xmlns:c16="http://schemas.microsoft.com/office/drawing/2014/chart" uri="{C3380CC4-5D6E-409C-BE32-E72D297353CC}">
                  <c16:uniqueId val="{00000012-D0B4-47FE-BF7A-1038DC531258}"/>
                </c:ext>
              </c:extLst>
            </c:dLbl>
            <c:dLbl>
              <c:idx val="2"/>
              <c:delete val="1"/>
              <c:extLst>
                <c:ext xmlns:c15="http://schemas.microsoft.com/office/drawing/2012/chart" uri="{CE6537A1-D6FC-4f65-9D91-7224C49458BB}"/>
                <c:ext xmlns:c16="http://schemas.microsoft.com/office/drawing/2014/chart" uri="{C3380CC4-5D6E-409C-BE32-E72D297353CC}">
                  <c16:uniqueId val="{00000014-D0B4-47FE-BF7A-1038DC531258}"/>
                </c:ext>
              </c:extLst>
            </c:dLbl>
            <c:dLbl>
              <c:idx val="3"/>
              <c:delete val="1"/>
              <c:extLst>
                <c:ext xmlns:c15="http://schemas.microsoft.com/office/drawing/2012/chart" uri="{CE6537A1-D6FC-4f65-9D91-7224C49458BB}"/>
                <c:ext xmlns:c16="http://schemas.microsoft.com/office/drawing/2014/chart" uri="{C3380CC4-5D6E-409C-BE32-E72D297353CC}">
                  <c16:uniqueId val="{00000016-D0B4-47FE-BF7A-1038DC531258}"/>
                </c:ext>
              </c:extLst>
            </c:dLbl>
            <c:dLbl>
              <c:idx val="5"/>
              <c:delete val="1"/>
              <c:extLst>
                <c:ext xmlns:c15="http://schemas.microsoft.com/office/drawing/2012/chart" uri="{CE6537A1-D6FC-4f65-9D91-7224C49458BB}"/>
                <c:ext xmlns:c16="http://schemas.microsoft.com/office/drawing/2014/chart" uri="{C3380CC4-5D6E-409C-BE32-E72D297353CC}">
                  <c16:uniqueId val="{00000019-D0B4-47FE-BF7A-1038DC531258}"/>
                </c:ext>
              </c:extLst>
            </c:dLbl>
            <c:dLbl>
              <c:idx val="6"/>
              <c:delete val="1"/>
              <c:extLst>
                <c:ext xmlns:c15="http://schemas.microsoft.com/office/drawing/2012/chart" uri="{CE6537A1-D6FC-4f65-9D91-7224C49458BB}"/>
                <c:ext xmlns:c16="http://schemas.microsoft.com/office/drawing/2014/chart" uri="{C3380CC4-5D6E-409C-BE32-E72D297353CC}">
                  <c16:uniqueId val="{0000001B-D0B4-47FE-BF7A-1038DC531258}"/>
                </c:ext>
              </c:extLst>
            </c:dLbl>
            <c:dLbl>
              <c:idx val="7"/>
              <c:delete val="1"/>
              <c:extLst>
                <c:ext xmlns:c15="http://schemas.microsoft.com/office/drawing/2012/chart" uri="{CE6537A1-D6FC-4f65-9D91-7224C49458BB}"/>
                <c:ext xmlns:c16="http://schemas.microsoft.com/office/drawing/2014/chart" uri="{C3380CC4-5D6E-409C-BE32-E72D297353CC}">
                  <c16:uniqueId val="{0000001D-D0B4-47FE-BF7A-1038DC531258}"/>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D0B4-47FE-BF7A-1038DC531258}"/>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0B4-47FE-BF7A-1038DC531258}"/>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0B4-47FE-BF7A-1038DC531258}"/>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D0B4-47FE-BF7A-1038DC531258}"/>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0B4-47FE-BF7A-1038DC531258}"/>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0B4-47FE-BF7A-1038DC531258}"/>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0B4-47FE-BF7A-1038DC531258}"/>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0B4-47FE-BF7A-1038DC531258}"/>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D0B4-47FE-BF7A-1038DC531258}"/>
            </c:ext>
          </c:extLst>
        </c:ser>
        <c:dLbls>
          <c:showLegendKey val="0"/>
          <c:showVal val="0"/>
          <c:showCatName val="0"/>
          <c:showSerName val="0"/>
          <c:showPercent val="0"/>
          <c:showBubbleSize val="0"/>
        </c:dLbls>
        <c:gapWidth val="40"/>
        <c:overlap val="100"/>
        <c:axId val="1181025760"/>
        <c:axId val="1181036344"/>
      </c:barChart>
      <c:catAx>
        <c:axId val="1181025760"/>
        <c:scaling>
          <c:orientation val="minMax"/>
        </c:scaling>
        <c:delete val="0"/>
        <c:axPos val="b"/>
        <c:numFmt formatCode="General" sourceLinked="0"/>
        <c:majorTickMark val="none"/>
        <c:minorTickMark val="none"/>
        <c:tickLblPos val="none"/>
        <c:spPr>
          <a:ln w="31750">
            <a:solidFill>
              <a:schemeClr val="tx1"/>
            </a:solidFill>
          </a:ln>
        </c:spPr>
        <c:crossAx val="1181036344"/>
        <c:crosses val="autoZero"/>
        <c:auto val="1"/>
        <c:lblAlgn val="ctr"/>
        <c:lblOffset val="100"/>
        <c:noMultiLvlLbl val="0"/>
      </c:catAx>
      <c:valAx>
        <c:axId val="1181036344"/>
        <c:scaling>
          <c:orientation val="minMax"/>
          <c:max val="1300"/>
          <c:min val="0"/>
        </c:scaling>
        <c:delete val="1"/>
        <c:axPos val="l"/>
        <c:numFmt formatCode="#,##0" sourceLinked="1"/>
        <c:majorTickMark val="out"/>
        <c:minorTickMark val="none"/>
        <c:tickLblPos val="nextTo"/>
        <c:crossAx val="1181025760"/>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1A33-4C9B-8F7A-378C59ACF854}"/>
              </c:ext>
            </c:extLst>
          </c:dPt>
          <c:dPt>
            <c:idx val="1"/>
            <c:bubble3D val="0"/>
            <c:spPr>
              <a:solidFill>
                <a:schemeClr val="bg1">
                  <a:lumMod val="50000"/>
                  <a:alpha val="90000"/>
                </a:schemeClr>
              </a:solidFill>
            </c:spPr>
            <c:extLst>
              <c:ext xmlns:c16="http://schemas.microsoft.com/office/drawing/2014/chart" uri="{C3380CC4-5D6E-409C-BE32-E72D297353CC}">
                <c16:uniqueId val="{00000003-1A33-4C9B-8F7A-378C59ACF854}"/>
              </c:ext>
            </c:extLst>
          </c:dPt>
          <c:dPt>
            <c:idx val="2"/>
            <c:bubble3D val="0"/>
            <c:spPr>
              <a:solidFill>
                <a:srgbClr val="FA7800">
                  <a:alpha val="80000"/>
                </a:srgbClr>
              </a:solidFill>
            </c:spPr>
            <c:extLst>
              <c:ext xmlns:c16="http://schemas.microsoft.com/office/drawing/2014/chart" uri="{C3380CC4-5D6E-409C-BE32-E72D297353CC}">
                <c16:uniqueId val="{00000005-1A33-4C9B-8F7A-378C59ACF854}"/>
              </c:ext>
            </c:extLst>
          </c:dPt>
          <c:dPt>
            <c:idx val="3"/>
            <c:bubble3D val="0"/>
            <c:spPr>
              <a:solidFill>
                <a:srgbClr val="356AAE">
                  <a:alpha val="69804"/>
                </a:srgbClr>
              </a:solidFill>
            </c:spPr>
            <c:extLst>
              <c:ext xmlns:c16="http://schemas.microsoft.com/office/drawing/2014/chart" uri="{C3380CC4-5D6E-409C-BE32-E72D297353CC}">
                <c16:uniqueId val="{00000007-1A33-4C9B-8F7A-378C59ACF854}"/>
              </c:ext>
            </c:extLst>
          </c:dPt>
          <c:dPt>
            <c:idx val="4"/>
            <c:bubble3D val="0"/>
            <c:spPr>
              <a:solidFill>
                <a:srgbClr val="356AAE">
                  <a:alpha val="60000"/>
                </a:srgbClr>
              </a:solidFill>
            </c:spPr>
            <c:extLst>
              <c:ext xmlns:c16="http://schemas.microsoft.com/office/drawing/2014/chart" uri="{C3380CC4-5D6E-409C-BE32-E72D297353CC}">
                <c16:uniqueId val="{00000009-1A33-4C9B-8F7A-378C59ACF854}"/>
              </c:ext>
            </c:extLst>
          </c:dPt>
          <c:dPt>
            <c:idx val="5"/>
            <c:bubble3D val="0"/>
            <c:spPr>
              <a:solidFill>
                <a:schemeClr val="bg1">
                  <a:lumMod val="50000"/>
                </a:schemeClr>
              </a:solidFill>
            </c:spPr>
            <c:extLst>
              <c:ext xmlns:c16="http://schemas.microsoft.com/office/drawing/2014/chart" uri="{C3380CC4-5D6E-409C-BE32-E72D297353CC}">
                <c16:uniqueId val="{0000000B-1A33-4C9B-8F7A-378C59ACF854}"/>
              </c:ext>
            </c:extLst>
          </c:dPt>
          <c:dPt>
            <c:idx val="6"/>
            <c:bubble3D val="0"/>
            <c:spPr>
              <a:solidFill>
                <a:schemeClr val="bg1">
                  <a:lumMod val="65000"/>
                </a:schemeClr>
              </a:solidFill>
            </c:spPr>
            <c:extLst>
              <c:ext xmlns:c16="http://schemas.microsoft.com/office/drawing/2014/chart" uri="{C3380CC4-5D6E-409C-BE32-E72D297353CC}">
                <c16:uniqueId val="{0000000D-1A33-4C9B-8F7A-378C59ACF854}"/>
              </c:ext>
            </c:extLst>
          </c:dPt>
          <c:dPt>
            <c:idx val="7"/>
            <c:bubble3D val="0"/>
            <c:spPr>
              <a:solidFill>
                <a:schemeClr val="bg1">
                  <a:lumMod val="75000"/>
                </a:schemeClr>
              </a:solidFill>
            </c:spPr>
            <c:extLst>
              <c:ext xmlns:c16="http://schemas.microsoft.com/office/drawing/2014/chart" uri="{C3380CC4-5D6E-409C-BE32-E72D297353CC}">
                <c16:uniqueId val="{0000000F-1A33-4C9B-8F7A-378C59ACF854}"/>
              </c:ext>
            </c:extLst>
          </c:dPt>
          <c:dPt>
            <c:idx val="8"/>
            <c:bubble3D val="0"/>
            <c:spPr>
              <a:solidFill>
                <a:schemeClr val="bg1">
                  <a:lumMod val="85000"/>
                </a:schemeClr>
              </a:solidFill>
            </c:spPr>
            <c:extLst>
              <c:ext xmlns:c16="http://schemas.microsoft.com/office/drawing/2014/chart" uri="{C3380CC4-5D6E-409C-BE32-E72D297353CC}">
                <c16:uniqueId val="{00000011-1A33-4C9B-8F7A-378C59ACF854}"/>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A33-4C9B-8F7A-378C59ACF854}"/>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A33-4C9B-8F7A-378C59ACF854}"/>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A33-4C9B-8F7A-378C59ACF854}"/>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A33-4C9B-8F7A-378C59ACF854}"/>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A33-4C9B-8F7A-378C59ACF854}"/>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A33-4C9B-8F7A-378C59ACF854}"/>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A33-4C9B-8F7A-378C59ACF854}"/>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A33-4C9B-8F7A-378C59ACF854}"/>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1A33-4C9B-8F7A-378C59ACF854}"/>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A33-4C9B-8F7A-378C59ACF854}"/>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A33-4C9B-8F7A-378C59ACF854}"/>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1A33-4C9B-8F7A-378C59ACF854}"/>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7ADD-4DA8-8DD9-997E9C7480F4}"/>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7ADD-4DA8-8DD9-997E9C7480F4}"/>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7ADD-4DA8-8DD9-997E9C7480F4}"/>
            </c:ext>
          </c:extLst>
        </c:ser>
        <c:dLbls>
          <c:showLegendKey val="0"/>
          <c:showVal val="0"/>
          <c:showCatName val="0"/>
          <c:showSerName val="0"/>
          <c:showPercent val="0"/>
          <c:showBubbleSize val="0"/>
        </c:dLbls>
        <c:gapWidth val="80"/>
        <c:overlap val="100"/>
        <c:axId val="1181033208"/>
        <c:axId val="1181032032"/>
      </c:barChart>
      <c:catAx>
        <c:axId val="11810332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1181032032"/>
        <c:crosses val="autoZero"/>
        <c:auto val="1"/>
        <c:lblAlgn val="ctr"/>
        <c:lblOffset val="100"/>
        <c:noMultiLvlLbl val="0"/>
      </c:catAx>
      <c:valAx>
        <c:axId val="118103203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1181033208"/>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5FB3-4FBC-BA89-4103D0AFDDC4}"/>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B3-4FBC-BA89-4103D0AFDDC4}"/>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5FB3-4FBC-BA89-4103D0AFDDC4}"/>
            </c:ext>
          </c:extLst>
        </c:ser>
        <c:dLbls>
          <c:showLegendKey val="0"/>
          <c:showVal val="0"/>
          <c:showCatName val="0"/>
          <c:showSerName val="0"/>
          <c:showPercent val="0"/>
          <c:showBubbleSize val="0"/>
        </c:dLbls>
        <c:gapWidth val="80"/>
        <c:axId val="1181026152"/>
        <c:axId val="1181035952"/>
      </c:barChart>
      <c:catAx>
        <c:axId val="11810261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1181035952"/>
        <c:crosses val="autoZero"/>
        <c:auto val="1"/>
        <c:lblAlgn val="ctr"/>
        <c:lblOffset val="100"/>
        <c:noMultiLvlLbl val="0"/>
      </c:catAx>
      <c:valAx>
        <c:axId val="1181035952"/>
        <c:scaling>
          <c:orientation val="minMax"/>
          <c:max val="0.5"/>
          <c:min val="0"/>
        </c:scaling>
        <c:delete val="1"/>
        <c:axPos val="l"/>
        <c:numFmt formatCode="0%" sourceLinked="1"/>
        <c:majorTickMark val="out"/>
        <c:minorTickMark val="none"/>
        <c:tickLblPos val="nextTo"/>
        <c:crossAx val="118102615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94A-4139-BA80-2109888CC514}"/>
              </c:ext>
            </c:extLst>
          </c:dPt>
          <c:dPt>
            <c:idx val="1"/>
            <c:invertIfNegative val="0"/>
            <c:bubble3D val="0"/>
            <c:extLst>
              <c:ext xmlns:c16="http://schemas.microsoft.com/office/drawing/2014/chart" uri="{C3380CC4-5D6E-409C-BE32-E72D297353CC}">
                <c16:uniqueId val="{00000002-994A-4139-BA80-2109888CC514}"/>
              </c:ext>
            </c:extLst>
          </c:dPt>
          <c:dPt>
            <c:idx val="2"/>
            <c:invertIfNegative val="0"/>
            <c:bubble3D val="0"/>
            <c:extLst>
              <c:ext xmlns:c16="http://schemas.microsoft.com/office/drawing/2014/chart" uri="{C3380CC4-5D6E-409C-BE32-E72D297353CC}">
                <c16:uniqueId val="{00000003-994A-4139-BA80-2109888CC514}"/>
              </c:ext>
            </c:extLst>
          </c:dPt>
          <c:dPt>
            <c:idx val="3"/>
            <c:invertIfNegative val="0"/>
            <c:bubble3D val="0"/>
            <c:extLst>
              <c:ext xmlns:c16="http://schemas.microsoft.com/office/drawing/2014/chart" uri="{C3380CC4-5D6E-409C-BE32-E72D297353CC}">
                <c16:uniqueId val="{00000004-994A-4139-BA80-2109888CC514}"/>
              </c:ext>
            </c:extLst>
          </c:dPt>
          <c:dPt>
            <c:idx val="4"/>
            <c:invertIfNegative val="0"/>
            <c:bubble3D val="0"/>
            <c:spPr>
              <a:solidFill>
                <a:srgbClr val="3562A8"/>
              </a:solidFill>
            </c:spPr>
            <c:extLst>
              <c:ext xmlns:c16="http://schemas.microsoft.com/office/drawing/2014/chart" uri="{C3380CC4-5D6E-409C-BE32-E72D297353CC}">
                <c16:uniqueId val="{00000006-994A-4139-BA80-2109888CC514}"/>
              </c:ext>
            </c:extLst>
          </c:dPt>
          <c:dPt>
            <c:idx val="5"/>
            <c:invertIfNegative val="0"/>
            <c:bubble3D val="0"/>
            <c:extLst>
              <c:ext xmlns:c16="http://schemas.microsoft.com/office/drawing/2014/chart" uri="{C3380CC4-5D6E-409C-BE32-E72D297353CC}">
                <c16:uniqueId val="{00000007-994A-4139-BA80-2109888CC514}"/>
              </c:ext>
            </c:extLst>
          </c:dPt>
          <c:dPt>
            <c:idx val="6"/>
            <c:invertIfNegative val="0"/>
            <c:bubble3D val="0"/>
            <c:extLst>
              <c:ext xmlns:c16="http://schemas.microsoft.com/office/drawing/2014/chart" uri="{C3380CC4-5D6E-409C-BE32-E72D297353CC}">
                <c16:uniqueId val="{00000008-994A-4139-BA80-2109888CC514}"/>
              </c:ext>
            </c:extLst>
          </c:dPt>
          <c:dPt>
            <c:idx val="7"/>
            <c:invertIfNegative val="0"/>
            <c:bubble3D val="0"/>
            <c:extLst>
              <c:ext xmlns:c16="http://schemas.microsoft.com/office/drawing/2014/chart" uri="{C3380CC4-5D6E-409C-BE32-E72D297353CC}">
                <c16:uniqueId val="{00000009-994A-4139-BA80-2109888CC514}"/>
              </c:ext>
            </c:extLst>
          </c:dPt>
          <c:dPt>
            <c:idx val="8"/>
            <c:invertIfNegative val="0"/>
            <c:bubble3D val="0"/>
            <c:spPr>
              <a:solidFill>
                <a:srgbClr val="FA7800"/>
              </a:solidFill>
            </c:spPr>
            <c:extLst>
              <c:ext xmlns:c16="http://schemas.microsoft.com/office/drawing/2014/chart" uri="{C3380CC4-5D6E-409C-BE32-E72D297353CC}">
                <c16:uniqueId val="{0000000B-994A-4139-BA80-2109888CC514}"/>
              </c:ext>
            </c:extLst>
          </c:dPt>
          <c:dPt>
            <c:idx val="9"/>
            <c:invertIfNegative val="0"/>
            <c:bubble3D val="0"/>
            <c:extLst>
              <c:ext xmlns:c16="http://schemas.microsoft.com/office/drawing/2014/chart" uri="{C3380CC4-5D6E-409C-BE32-E72D297353CC}">
                <c16:uniqueId val="{0000000C-994A-4139-BA80-2109888CC514}"/>
              </c:ext>
            </c:extLst>
          </c:dPt>
          <c:dLbls>
            <c:dLbl>
              <c:idx val="1"/>
              <c:delete val="1"/>
              <c:extLst>
                <c:ext xmlns:c15="http://schemas.microsoft.com/office/drawing/2012/chart" uri="{CE6537A1-D6FC-4f65-9D91-7224C49458BB}"/>
                <c:ext xmlns:c16="http://schemas.microsoft.com/office/drawing/2014/chart" uri="{C3380CC4-5D6E-409C-BE32-E72D297353CC}">
                  <c16:uniqueId val="{00000002-994A-4139-BA80-2109888CC514}"/>
                </c:ext>
              </c:extLst>
            </c:dLbl>
            <c:dLbl>
              <c:idx val="2"/>
              <c:delete val="1"/>
              <c:extLst>
                <c:ext xmlns:c15="http://schemas.microsoft.com/office/drawing/2012/chart" uri="{CE6537A1-D6FC-4f65-9D91-7224C49458BB}"/>
                <c:ext xmlns:c16="http://schemas.microsoft.com/office/drawing/2014/chart" uri="{C3380CC4-5D6E-409C-BE32-E72D297353CC}">
                  <c16:uniqueId val="{00000003-994A-4139-BA80-2109888CC514}"/>
                </c:ext>
              </c:extLst>
            </c:dLbl>
            <c:dLbl>
              <c:idx val="3"/>
              <c:delete val="1"/>
              <c:extLst>
                <c:ext xmlns:c15="http://schemas.microsoft.com/office/drawing/2012/chart" uri="{CE6537A1-D6FC-4f65-9D91-7224C49458BB}"/>
                <c:ext xmlns:c16="http://schemas.microsoft.com/office/drawing/2014/chart" uri="{C3380CC4-5D6E-409C-BE32-E72D297353CC}">
                  <c16:uniqueId val="{00000004-994A-4139-BA80-2109888CC514}"/>
                </c:ext>
              </c:extLst>
            </c:dLbl>
            <c:dLbl>
              <c:idx val="5"/>
              <c:delete val="1"/>
              <c:extLst>
                <c:ext xmlns:c15="http://schemas.microsoft.com/office/drawing/2012/chart" uri="{CE6537A1-D6FC-4f65-9D91-7224C49458BB}"/>
                <c:ext xmlns:c16="http://schemas.microsoft.com/office/drawing/2014/chart" uri="{C3380CC4-5D6E-409C-BE32-E72D297353CC}">
                  <c16:uniqueId val="{00000007-994A-4139-BA80-2109888CC514}"/>
                </c:ext>
              </c:extLst>
            </c:dLbl>
            <c:dLbl>
              <c:idx val="6"/>
              <c:delete val="1"/>
              <c:extLst>
                <c:ext xmlns:c15="http://schemas.microsoft.com/office/drawing/2012/chart" uri="{CE6537A1-D6FC-4f65-9D91-7224C49458BB}"/>
                <c:ext xmlns:c16="http://schemas.microsoft.com/office/drawing/2014/chart" uri="{C3380CC4-5D6E-409C-BE32-E72D297353CC}">
                  <c16:uniqueId val="{00000008-994A-4139-BA80-2109888CC514}"/>
                </c:ext>
              </c:extLst>
            </c:dLbl>
            <c:dLbl>
              <c:idx val="7"/>
              <c:delete val="1"/>
              <c:extLst>
                <c:ext xmlns:c15="http://schemas.microsoft.com/office/drawing/2012/chart" uri="{CE6537A1-D6FC-4f65-9D91-7224C49458BB}"/>
                <c:ext xmlns:c16="http://schemas.microsoft.com/office/drawing/2014/chart" uri="{C3380CC4-5D6E-409C-BE32-E72D297353CC}">
                  <c16:uniqueId val="{00000009-994A-4139-BA80-2109888CC514}"/>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94A-4139-BA80-2109888CC514}"/>
            </c:ext>
          </c:extLst>
        </c:ser>
        <c:dLbls>
          <c:showLegendKey val="0"/>
          <c:showVal val="0"/>
          <c:showCatName val="0"/>
          <c:showSerName val="0"/>
          <c:showPercent val="0"/>
          <c:showBubbleSize val="0"/>
        </c:dLbls>
        <c:gapWidth val="40"/>
        <c:axId val="1181058688"/>
        <c:axId val="1181058296"/>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994A-4139-BA80-2109888CC514}"/>
            </c:ext>
          </c:extLst>
        </c:ser>
        <c:dLbls>
          <c:showLegendKey val="0"/>
          <c:showVal val="0"/>
          <c:showCatName val="0"/>
          <c:showSerName val="0"/>
          <c:showPercent val="0"/>
          <c:showBubbleSize val="0"/>
        </c:dLbls>
        <c:marker val="1"/>
        <c:smooth val="0"/>
        <c:axId val="1181058688"/>
        <c:axId val="1181058296"/>
      </c:lineChart>
      <c:catAx>
        <c:axId val="1181058688"/>
        <c:scaling>
          <c:orientation val="minMax"/>
        </c:scaling>
        <c:delete val="0"/>
        <c:axPos val="b"/>
        <c:numFmt formatCode="General" sourceLinked="1"/>
        <c:majorTickMark val="none"/>
        <c:minorTickMark val="none"/>
        <c:tickLblPos val="none"/>
        <c:spPr>
          <a:ln w="31750">
            <a:solidFill>
              <a:schemeClr val="tx1"/>
            </a:solidFill>
          </a:ln>
        </c:spPr>
        <c:crossAx val="1181058296"/>
        <c:crosses val="autoZero"/>
        <c:auto val="1"/>
        <c:lblAlgn val="ctr"/>
        <c:lblOffset val="0"/>
        <c:noMultiLvlLbl val="0"/>
      </c:catAx>
      <c:valAx>
        <c:axId val="1181058296"/>
        <c:scaling>
          <c:orientation val="minMax"/>
          <c:max val="100"/>
          <c:min val="0"/>
        </c:scaling>
        <c:delete val="1"/>
        <c:axPos val="l"/>
        <c:numFmt formatCode="0.0" sourceLinked="1"/>
        <c:majorTickMark val="out"/>
        <c:minorTickMark val="none"/>
        <c:tickLblPos val="nextTo"/>
        <c:crossAx val="1181058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C701-4AF1-A761-7ADC3542BC01}"/>
              </c:ext>
            </c:extLst>
          </c:dPt>
          <c:dPt>
            <c:idx val="1"/>
            <c:bubble3D val="0"/>
            <c:spPr>
              <a:solidFill>
                <a:srgbClr val="5D88C2"/>
              </a:solidFill>
            </c:spPr>
            <c:extLst>
              <c:ext xmlns:c16="http://schemas.microsoft.com/office/drawing/2014/chart" uri="{C3380CC4-5D6E-409C-BE32-E72D297353CC}">
                <c16:uniqueId val="{00000003-C701-4AF1-A761-7ADC3542BC01}"/>
              </c:ext>
            </c:extLst>
          </c:dPt>
          <c:dPt>
            <c:idx val="2"/>
            <c:bubble3D val="0"/>
            <c:spPr>
              <a:solidFill>
                <a:srgbClr val="87A4D4"/>
              </a:solidFill>
            </c:spPr>
            <c:extLst>
              <c:ext xmlns:c16="http://schemas.microsoft.com/office/drawing/2014/chart" uri="{C3380CC4-5D6E-409C-BE32-E72D297353CC}">
                <c16:uniqueId val="{00000005-C701-4AF1-A761-7ADC3542BC01}"/>
              </c:ext>
            </c:extLst>
          </c:dPt>
          <c:dPt>
            <c:idx val="3"/>
            <c:bubble3D val="0"/>
            <c:spPr>
              <a:solidFill>
                <a:srgbClr val="B4C9E9"/>
              </a:solidFill>
            </c:spPr>
            <c:extLst>
              <c:ext xmlns:c16="http://schemas.microsoft.com/office/drawing/2014/chart" uri="{C3380CC4-5D6E-409C-BE32-E72D297353CC}">
                <c16:uniqueId val="{00000007-C701-4AF1-A761-7ADC3542BC01}"/>
              </c:ext>
            </c:extLst>
          </c:dPt>
          <c:dPt>
            <c:idx val="4"/>
            <c:bubble3D val="0"/>
            <c:spPr>
              <a:solidFill>
                <a:srgbClr val="333333"/>
              </a:solidFill>
            </c:spPr>
            <c:extLst>
              <c:ext xmlns:c16="http://schemas.microsoft.com/office/drawing/2014/chart" uri="{C3380CC4-5D6E-409C-BE32-E72D297353CC}">
                <c16:uniqueId val="{00000009-C701-4AF1-A761-7ADC3542BC01}"/>
              </c:ext>
            </c:extLst>
          </c:dPt>
          <c:dPt>
            <c:idx val="5"/>
            <c:bubble3D val="0"/>
            <c:spPr>
              <a:solidFill>
                <a:srgbClr val="FA7800"/>
              </a:solidFill>
            </c:spPr>
            <c:extLst>
              <c:ext xmlns:c16="http://schemas.microsoft.com/office/drawing/2014/chart" uri="{C3380CC4-5D6E-409C-BE32-E72D297353CC}">
                <c16:uniqueId val="{0000000B-C701-4AF1-A761-7ADC3542BC01}"/>
              </c:ext>
            </c:extLst>
          </c:dPt>
          <c:dPt>
            <c:idx val="6"/>
            <c:bubble3D val="0"/>
            <c:spPr>
              <a:solidFill>
                <a:schemeClr val="bg1">
                  <a:lumMod val="50000"/>
                </a:schemeClr>
              </a:solidFill>
            </c:spPr>
            <c:extLst>
              <c:ext xmlns:c16="http://schemas.microsoft.com/office/drawing/2014/chart" uri="{C3380CC4-5D6E-409C-BE32-E72D297353CC}">
                <c16:uniqueId val="{0000000D-C701-4AF1-A761-7ADC3542BC01}"/>
              </c:ext>
            </c:extLst>
          </c:dPt>
          <c:dPt>
            <c:idx val="7"/>
            <c:bubble3D val="0"/>
            <c:spPr>
              <a:solidFill>
                <a:schemeClr val="bg1">
                  <a:lumMod val="65000"/>
                </a:schemeClr>
              </a:solidFill>
            </c:spPr>
            <c:extLst>
              <c:ext xmlns:c16="http://schemas.microsoft.com/office/drawing/2014/chart" uri="{C3380CC4-5D6E-409C-BE32-E72D297353CC}">
                <c16:uniqueId val="{0000000F-C701-4AF1-A761-7ADC3542BC01}"/>
              </c:ext>
            </c:extLst>
          </c:dPt>
          <c:dPt>
            <c:idx val="9"/>
            <c:bubble3D val="0"/>
            <c:spPr>
              <a:solidFill>
                <a:schemeClr val="accent3">
                  <a:lumMod val="50000"/>
                </a:schemeClr>
              </a:solidFill>
            </c:spPr>
            <c:extLst>
              <c:ext xmlns:c16="http://schemas.microsoft.com/office/drawing/2014/chart" uri="{C3380CC4-5D6E-409C-BE32-E72D297353CC}">
                <c16:uniqueId val="{00000011-C701-4AF1-A761-7ADC3542BC01}"/>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C701-4AF1-A761-7ADC3542BC01}"/>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7428-4A87-8D9D-65706F2CD9BE}"/>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7428-4A87-8D9D-65706F2CD9BE}"/>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7428-4A87-8D9D-65706F2CD9BE}"/>
            </c:ext>
          </c:extLst>
        </c:ser>
        <c:dLbls>
          <c:showLegendKey val="0"/>
          <c:showVal val="0"/>
          <c:showCatName val="0"/>
          <c:showSerName val="0"/>
          <c:showPercent val="0"/>
          <c:showBubbleSize val="0"/>
        </c:dLbls>
        <c:gapWidth val="50"/>
        <c:overlap val="100"/>
        <c:axId val="1181031640"/>
        <c:axId val="1181034776"/>
      </c:barChart>
      <c:catAx>
        <c:axId val="118103164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81034776"/>
        <c:crosses val="autoZero"/>
        <c:auto val="1"/>
        <c:lblAlgn val="ctr"/>
        <c:lblOffset val="100"/>
        <c:noMultiLvlLbl val="0"/>
      </c:catAx>
      <c:valAx>
        <c:axId val="118103477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118103164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B507-47B2-9F31-8729919D3B3D}"/>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B507-47B2-9F31-8729919D3B3D}"/>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B507-47B2-9F31-8729919D3B3D}"/>
            </c:ext>
          </c:extLst>
        </c:ser>
        <c:dLbls>
          <c:showLegendKey val="0"/>
          <c:showVal val="0"/>
          <c:showCatName val="0"/>
          <c:showSerName val="0"/>
          <c:showPercent val="0"/>
          <c:showBubbleSize val="0"/>
        </c:dLbls>
        <c:gapWidth val="80"/>
        <c:overlap val="100"/>
        <c:axId val="1181024584"/>
        <c:axId val="1181032816"/>
      </c:barChart>
      <c:catAx>
        <c:axId val="118102458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81032816"/>
        <c:crosses val="autoZero"/>
        <c:auto val="1"/>
        <c:lblAlgn val="ctr"/>
        <c:lblOffset val="100"/>
        <c:noMultiLvlLbl val="0"/>
      </c:catAx>
      <c:valAx>
        <c:axId val="1181032816"/>
        <c:scaling>
          <c:orientation val="minMax"/>
          <c:max val="720"/>
          <c:min val="0"/>
        </c:scaling>
        <c:delete val="1"/>
        <c:axPos val="l"/>
        <c:numFmt formatCode="#,##0\ ;\(#,##0\);&quot;-&quot;\ " sourceLinked="1"/>
        <c:majorTickMark val="out"/>
        <c:minorTickMark val="none"/>
        <c:tickLblPos val="nextTo"/>
        <c:crossAx val="1181024584"/>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19F4-4DF1-8606-FA38AA1E29B5}"/>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19F4-4DF1-8606-FA38AA1E29B5}"/>
            </c:ext>
          </c:extLst>
        </c:ser>
        <c:dLbls>
          <c:showLegendKey val="0"/>
          <c:showVal val="0"/>
          <c:showCatName val="0"/>
          <c:showSerName val="0"/>
          <c:showPercent val="0"/>
          <c:showBubbleSize val="0"/>
        </c:dLbls>
        <c:gapWidth val="80"/>
        <c:axId val="1181035560"/>
        <c:axId val="1181024976"/>
      </c:barChart>
      <c:catAx>
        <c:axId val="11810355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81024976"/>
        <c:crosses val="autoZero"/>
        <c:auto val="1"/>
        <c:lblAlgn val="ctr"/>
        <c:lblOffset val="100"/>
        <c:noMultiLvlLbl val="0"/>
      </c:catAx>
      <c:valAx>
        <c:axId val="1181024976"/>
        <c:scaling>
          <c:orientation val="minMax"/>
          <c:max val="400"/>
          <c:min val="0"/>
        </c:scaling>
        <c:delete val="1"/>
        <c:axPos val="l"/>
        <c:numFmt formatCode="0" sourceLinked="1"/>
        <c:majorTickMark val="out"/>
        <c:minorTickMark val="none"/>
        <c:tickLblPos val="nextTo"/>
        <c:crossAx val="118103556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A6C-43CA-B9F8-8A9359149207}"/>
              </c:ext>
            </c:extLst>
          </c:dPt>
          <c:dPt>
            <c:idx val="7"/>
            <c:invertIfNegative val="0"/>
            <c:bubble3D val="0"/>
            <c:spPr>
              <a:solidFill>
                <a:srgbClr val="5D88C2"/>
              </a:solidFill>
              <a:ln>
                <a:noFill/>
              </a:ln>
            </c:spPr>
            <c:extLst>
              <c:ext xmlns:c16="http://schemas.microsoft.com/office/drawing/2014/chart" uri="{C3380CC4-5D6E-409C-BE32-E72D297353CC}">
                <c16:uniqueId val="{00000003-FA6C-43CA-B9F8-8A9359149207}"/>
              </c:ext>
            </c:extLst>
          </c:dPt>
          <c:dPt>
            <c:idx val="8"/>
            <c:invertIfNegative val="0"/>
            <c:bubble3D val="0"/>
            <c:spPr>
              <a:solidFill>
                <a:srgbClr val="5D88C2"/>
              </a:solidFill>
              <a:ln>
                <a:noFill/>
              </a:ln>
            </c:spPr>
            <c:extLst>
              <c:ext xmlns:c16="http://schemas.microsoft.com/office/drawing/2014/chart" uri="{C3380CC4-5D6E-409C-BE32-E72D297353CC}">
                <c16:uniqueId val="{00000005-FA6C-43CA-B9F8-8A9359149207}"/>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A6C-43CA-B9F8-8A9359149207}"/>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A6C-43CA-B9F8-8A9359149207}"/>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A6C-43CA-B9F8-8A9359149207}"/>
              </c:ext>
            </c:extLst>
          </c:dPt>
          <c:dPt>
            <c:idx val="3"/>
            <c:invertIfNegative val="0"/>
            <c:bubble3D val="0"/>
            <c:extLst>
              <c:ext xmlns:c16="http://schemas.microsoft.com/office/drawing/2014/chart" uri="{C3380CC4-5D6E-409C-BE32-E72D297353CC}">
                <c16:uniqueId val="{0000000A-FA6C-43CA-B9F8-8A9359149207}"/>
              </c:ext>
            </c:extLst>
          </c:dPt>
          <c:dPt>
            <c:idx val="4"/>
            <c:invertIfNegative val="0"/>
            <c:bubble3D val="0"/>
            <c:extLst>
              <c:ext xmlns:c16="http://schemas.microsoft.com/office/drawing/2014/chart" uri="{C3380CC4-5D6E-409C-BE32-E72D297353CC}">
                <c16:uniqueId val="{0000000B-FA6C-43CA-B9F8-8A9359149207}"/>
              </c:ext>
            </c:extLst>
          </c:dPt>
          <c:dPt>
            <c:idx val="5"/>
            <c:invertIfNegative val="0"/>
            <c:bubble3D val="0"/>
            <c:extLst>
              <c:ext xmlns:c16="http://schemas.microsoft.com/office/drawing/2014/chart" uri="{C3380CC4-5D6E-409C-BE32-E72D297353CC}">
                <c16:uniqueId val="{0000000C-FA6C-43CA-B9F8-8A9359149207}"/>
              </c:ext>
            </c:extLst>
          </c:dPt>
          <c:dPt>
            <c:idx val="6"/>
            <c:invertIfNegative val="0"/>
            <c:bubble3D val="0"/>
            <c:extLst>
              <c:ext xmlns:c16="http://schemas.microsoft.com/office/drawing/2014/chart" uri="{C3380CC4-5D6E-409C-BE32-E72D297353CC}">
                <c16:uniqueId val="{0000000D-FA6C-43CA-B9F8-8A9359149207}"/>
              </c:ext>
            </c:extLst>
          </c:dPt>
          <c:dPt>
            <c:idx val="7"/>
            <c:invertIfNegative val="0"/>
            <c:bubble3D val="0"/>
            <c:extLst>
              <c:ext xmlns:c16="http://schemas.microsoft.com/office/drawing/2014/chart" uri="{C3380CC4-5D6E-409C-BE32-E72D297353CC}">
                <c16:uniqueId val="{0000000E-FA6C-43CA-B9F8-8A9359149207}"/>
              </c:ext>
            </c:extLst>
          </c:dPt>
          <c:dPt>
            <c:idx val="8"/>
            <c:invertIfNegative val="0"/>
            <c:bubble3D val="0"/>
            <c:extLst>
              <c:ext xmlns:c16="http://schemas.microsoft.com/office/drawing/2014/chart" uri="{C3380CC4-5D6E-409C-BE32-E72D297353CC}">
                <c16:uniqueId val="{0000000F-FA6C-43CA-B9F8-8A9359149207}"/>
              </c:ext>
            </c:extLst>
          </c:dPt>
          <c:dPt>
            <c:idx val="9"/>
            <c:invertIfNegative val="0"/>
            <c:bubble3D val="0"/>
            <c:extLst>
              <c:ext xmlns:c16="http://schemas.microsoft.com/office/drawing/2014/chart" uri="{C3380CC4-5D6E-409C-BE32-E72D297353CC}">
                <c16:uniqueId val="{00000010-FA6C-43CA-B9F8-8A9359149207}"/>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A6C-43CA-B9F8-8A9359149207}"/>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A6C-43CA-B9F8-8A9359149207}"/>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A6C-43CA-B9F8-8A9359149207}"/>
            </c:ext>
          </c:extLst>
        </c:ser>
        <c:dLbls>
          <c:showLegendKey val="0"/>
          <c:showVal val="0"/>
          <c:showCatName val="0"/>
          <c:showSerName val="0"/>
          <c:showPercent val="0"/>
          <c:showBubbleSize val="0"/>
        </c:dLbls>
        <c:gapWidth val="110"/>
        <c:overlap val="100"/>
        <c:axId val="1181032424"/>
        <c:axId val="1181026936"/>
      </c:barChart>
      <c:catAx>
        <c:axId val="11810324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1181026936"/>
        <c:crosses val="autoZero"/>
        <c:auto val="1"/>
        <c:lblAlgn val="ctr"/>
        <c:lblOffset val="100"/>
        <c:noMultiLvlLbl val="0"/>
      </c:catAx>
      <c:valAx>
        <c:axId val="1181026936"/>
        <c:scaling>
          <c:orientation val="minMax"/>
          <c:max val="60"/>
          <c:min val="0"/>
        </c:scaling>
        <c:delete val="1"/>
        <c:axPos val="l"/>
        <c:numFmt formatCode="#,##0.0" sourceLinked="1"/>
        <c:majorTickMark val="none"/>
        <c:minorTickMark val="none"/>
        <c:tickLblPos val="nextTo"/>
        <c:crossAx val="118103242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3298-4B35-8546-1D1368A68B24}"/>
              </c:ext>
            </c:extLst>
          </c:dPt>
          <c:dPt>
            <c:idx val="1"/>
            <c:bubble3D val="0"/>
            <c:spPr>
              <a:solidFill>
                <a:srgbClr val="7FA6CD"/>
              </a:solidFill>
            </c:spPr>
            <c:extLst>
              <c:ext xmlns:c16="http://schemas.microsoft.com/office/drawing/2014/chart" uri="{C3380CC4-5D6E-409C-BE32-E72D297353CC}">
                <c16:uniqueId val="{00000003-3298-4B35-8546-1D1368A68B24}"/>
              </c:ext>
            </c:extLst>
          </c:dPt>
          <c:dPt>
            <c:idx val="2"/>
            <c:bubble3D val="0"/>
            <c:spPr>
              <a:solidFill>
                <a:srgbClr val="AFD2E7"/>
              </a:solidFill>
            </c:spPr>
            <c:extLst>
              <c:ext xmlns:c16="http://schemas.microsoft.com/office/drawing/2014/chart" uri="{C3380CC4-5D6E-409C-BE32-E72D297353CC}">
                <c16:uniqueId val="{00000005-3298-4B35-8546-1D1368A68B24}"/>
              </c:ext>
            </c:extLst>
          </c:dPt>
          <c:dPt>
            <c:idx val="3"/>
            <c:bubble3D val="0"/>
            <c:spPr>
              <a:solidFill>
                <a:srgbClr val="9FA6AB"/>
              </a:solidFill>
            </c:spPr>
            <c:extLst>
              <c:ext xmlns:c16="http://schemas.microsoft.com/office/drawing/2014/chart" uri="{C3380CC4-5D6E-409C-BE32-E72D297353CC}">
                <c16:uniqueId val="{00000007-3298-4B35-8546-1D1368A68B24}"/>
              </c:ext>
            </c:extLst>
          </c:dPt>
          <c:dPt>
            <c:idx val="4"/>
            <c:bubble3D val="0"/>
            <c:spPr>
              <a:solidFill>
                <a:srgbClr val="333333"/>
              </a:solidFill>
            </c:spPr>
            <c:extLst>
              <c:ext xmlns:c16="http://schemas.microsoft.com/office/drawing/2014/chart" uri="{C3380CC4-5D6E-409C-BE32-E72D297353CC}">
                <c16:uniqueId val="{00000009-3298-4B35-8546-1D1368A68B24}"/>
              </c:ext>
            </c:extLst>
          </c:dPt>
          <c:dPt>
            <c:idx val="5"/>
            <c:bubble3D val="0"/>
            <c:spPr>
              <a:solidFill>
                <a:srgbClr val="FA7800"/>
              </a:solidFill>
            </c:spPr>
            <c:extLst>
              <c:ext xmlns:c16="http://schemas.microsoft.com/office/drawing/2014/chart" uri="{C3380CC4-5D6E-409C-BE32-E72D297353CC}">
                <c16:uniqueId val="{0000000B-3298-4B35-8546-1D1368A68B24}"/>
              </c:ext>
            </c:extLst>
          </c:dPt>
          <c:dPt>
            <c:idx val="6"/>
            <c:bubble3D val="0"/>
            <c:spPr>
              <a:solidFill>
                <a:schemeClr val="bg1">
                  <a:lumMod val="50000"/>
                </a:schemeClr>
              </a:solidFill>
            </c:spPr>
            <c:extLst>
              <c:ext xmlns:c16="http://schemas.microsoft.com/office/drawing/2014/chart" uri="{C3380CC4-5D6E-409C-BE32-E72D297353CC}">
                <c16:uniqueId val="{0000000D-3298-4B35-8546-1D1368A68B24}"/>
              </c:ext>
            </c:extLst>
          </c:dPt>
          <c:dPt>
            <c:idx val="7"/>
            <c:bubble3D val="0"/>
            <c:spPr>
              <a:solidFill>
                <a:schemeClr val="bg1">
                  <a:lumMod val="65000"/>
                </a:schemeClr>
              </a:solidFill>
            </c:spPr>
            <c:extLst>
              <c:ext xmlns:c16="http://schemas.microsoft.com/office/drawing/2014/chart" uri="{C3380CC4-5D6E-409C-BE32-E72D297353CC}">
                <c16:uniqueId val="{0000000F-3298-4B35-8546-1D1368A68B24}"/>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3298-4B35-8546-1D1368A68B24}"/>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BD3B-4234-82F0-A6729285B649}"/>
              </c:ext>
            </c:extLst>
          </c:dPt>
          <c:dPt>
            <c:idx val="1"/>
            <c:bubble3D val="0"/>
            <c:spPr>
              <a:solidFill>
                <a:srgbClr val="7FA6CD"/>
              </a:solidFill>
            </c:spPr>
            <c:extLst>
              <c:ext xmlns:c16="http://schemas.microsoft.com/office/drawing/2014/chart" uri="{C3380CC4-5D6E-409C-BE32-E72D297353CC}">
                <c16:uniqueId val="{00000003-BD3B-4234-82F0-A6729285B649}"/>
              </c:ext>
            </c:extLst>
          </c:dPt>
          <c:dPt>
            <c:idx val="2"/>
            <c:bubble3D val="0"/>
            <c:spPr>
              <a:solidFill>
                <a:srgbClr val="AFD2E7"/>
              </a:solidFill>
            </c:spPr>
            <c:extLst>
              <c:ext xmlns:c16="http://schemas.microsoft.com/office/drawing/2014/chart" uri="{C3380CC4-5D6E-409C-BE32-E72D297353CC}">
                <c16:uniqueId val="{00000005-BD3B-4234-82F0-A6729285B649}"/>
              </c:ext>
            </c:extLst>
          </c:dPt>
          <c:dPt>
            <c:idx val="3"/>
            <c:bubble3D val="0"/>
            <c:spPr>
              <a:solidFill>
                <a:srgbClr val="9FA6AB"/>
              </a:solidFill>
            </c:spPr>
            <c:extLst>
              <c:ext xmlns:c16="http://schemas.microsoft.com/office/drawing/2014/chart" uri="{C3380CC4-5D6E-409C-BE32-E72D297353CC}">
                <c16:uniqueId val="{00000007-BD3B-4234-82F0-A6729285B649}"/>
              </c:ext>
            </c:extLst>
          </c:dPt>
          <c:dPt>
            <c:idx val="4"/>
            <c:bubble3D val="0"/>
            <c:spPr>
              <a:solidFill>
                <a:srgbClr val="3A3A3C"/>
              </a:solidFill>
            </c:spPr>
            <c:extLst>
              <c:ext xmlns:c16="http://schemas.microsoft.com/office/drawing/2014/chart" uri="{C3380CC4-5D6E-409C-BE32-E72D297353CC}">
                <c16:uniqueId val="{00000009-BD3B-4234-82F0-A6729285B649}"/>
              </c:ext>
            </c:extLst>
          </c:dPt>
          <c:dPt>
            <c:idx val="5"/>
            <c:bubble3D val="0"/>
            <c:spPr>
              <a:solidFill>
                <a:srgbClr val="FA7800"/>
              </a:solidFill>
            </c:spPr>
            <c:extLst>
              <c:ext xmlns:c16="http://schemas.microsoft.com/office/drawing/2014/chart" uri="{C3380CC4-5D6E-409C-BE32-E72D297353CC}">
                <c16:uniqueId val="{0000000B-BD3B-4234-82F0-A6729285B649}"/>
              </c:ext>
            </c:extLst>
          </c:dPt>
          <c:dPt>
            <c:idx val="6"/>
            <c:bubble3D val="0"/>
            <c:spPr>
              <a:solidFill>
                <a:schemeClr val="bg1">
                  <a:lumMod val="50000"/>
                </a:schemeClr>
              </a:solidFill>
            </c:spPr>
            <c:extLst>
              <c:ext xmlns:c16="http://schemas.microsoft.com/office/drawing/2014/chart" uri="{C3380CC4-5D6E-409C-BE32-E72D297353CC}">
                <c16:uniqueId val="{0000000D-BD3B-4234-82F0-A6729285B649}"/>
              </c:ext>
            </c:extLst>
          </c:dPt>
          <c:dPt>
            <c:idx val="7"/>
            <c:bubble3D val="0"/>
            <c:spPr>
              <a:solidFill>
                <a:schemeClr val="bg1">
                  <a:lumMod val="65000"/>
                </a:schemeClr>
              </a:solidFill>
            </c:spPr>
            <c:extLst>
              <c:ext xmlns:c16="http://schemas.microsoft.com/office/drawing/2014/chart" uri="{C3380CC4-5D6E-409C-BE32-E72D297353CC}">
                <c16:uniqueId val="{0000000F-BD3B-4234-82F0-A6729285B649}"/>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3B-4234-82F0-A6729285B649}"/>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3B-4234-82F0-A6729285B649}"/>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3B-4234-82F0-A6729285B649}"/>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BD3B-4234-82F0-A6729285B649}"/>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8CEC-4EE2-BF27-04B31B1C503B}"/>
              </c:ext>
            </c:extLst>
          </c:dPt>
          <c:dPt>
            <c:idx val="7"/>
            <c:invertIfNegative val="0"/>
            <c:bubble3D val="0"/>
            <c:spPr>
              <a:solidFill>
                <a:srgbClr val="5D88C2"/>
              </a:solidFill>
              <a:ln>
                <a:noFill/>
              </a:ln>
            </c:spPr>
            <c:extLst>
              <c:ext xmlns:c16="http://schemas.microsoft.com/office/drawing/2014/chart" uri="{C3380CC4-5D6E-409C-BE32-E72D297353CC}">
                <c16:uniqueId val="{00000003-8CEC-4EE2-BF27-04B31B1C503B}"/>
              </c:ext>
            </c:extLst>
          </c:dPt>
          <c:dPt>
            <c:idx val="8"/>
            <c:invertIfNegative val="0"/>
            <c:bubble3D val="0"/>
            <c:spPr>
              <a:solidFill>
                <a:srgbClr val="5D88C2"/>
              </a:solidFill>
              <a:ln>
                <a:noFill/>
              </a:ln>
            </c:spPr>
            <c:extLst>
              <c:ext xmlns:c16="http://schemas.microsoft.com/office/drawing/2014/chart" uri="{C3380CC4-5D6E-409C-BE32-E72D297353CC}">
                <c16:uniqueId val="{00000005-8CEC-4EE2-BF27-04B31B1C503B}"/>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8CEC-4EE2-BF27-04B31B1C503B}"/>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8CEC-4EE2-BF27-04B31B1C503B}"/>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8CEC-4EE2-BF27-04B31B1C503B}"/>
              </c:ext>
            </c:extLst>
          </c:dPt>
          <c:dPt>
            <c:idx val="3"/>
            <c:invertIfNegative val="0"/>
            <c:bubble3D val="0"/>
            <c:extLst>
              <c:ext xmlns:c16="http://schemas.microsoft.com/office/drawing/2014/chart" uri="{C3380CC4-5D6E-409C-BE32-E72D297353CC}">
                <c16:uniqueId val="{0000000A-8CEC-4EE2-BF27-04B31B1C503B}"/>
              </c:ext>
            </c:extLst>
          </c:dPt>
          <c:dPt>
            <c:idx val="4"/>
            <c:invertIfNegative val="0"/>
            <c:bubble3D val="0"/>
            <c:extLst>
              <c:ext xmlns:c16="http://schemas.microsoft.com/office/drawing/2014/chart" uri="{C3380CC4-5D6E-409C-BE32-E72D297353CC}">
                <c16:uniqueId val="{0000000B-8CEC-4EE2-BF27-04B31B1C503B}"/>
              </c:ext>
            </c:extLst>
          </c:dPt>
          <c:dPt>
            <c:idx val="5"/>
            <c:invertIfNegative val="0"/>
            <c:bubble3D val="0"/>
            <c:extLst>
              <c:ext xmlns:c16="http://schemas.microsoft.com/office/drawing/2014/chart" uri="{C3380CC4-5D6E-409C-BE32-E72D297353CC}">
                <c16:uniqueId val="{0000000C-8CEC-4EE2-BF27-04B31B1C503B}"/>
              </c:ext>
            </c:extLst>
          </c:dPt>
          <c:dPt>
            <c:idx val="6"/>
            <c:invertIfNegative val="0"/>
            <c:bubble3D val="0"/>
            <c:extLst>
              <c:ext xmlns:c16="http://schemas.microsoft.com/office/drawing/2014/chart" uri="{C3380CC4-5D6E-409C-BE32-E72D297353CC}">
                <c16:uniqueId val="{0000000D-8CEC-4EE2-BF27-04B31B1C503B}"/>
              </c:ext>
            </c:extLst>
          </c:dPt>
          <c:dPt>
            <c:idx val="7"/>
            <c:invertIfNegative val="0"/>
            <c:bubble3D val="0"/>
            <c:extLst>
              <c:ext xmlns:c16="http://schemas.microsoft.com/office/drawing/2014/chart" uri="{C3380CC4-5D6E-409C-BE32-E72D297353CC}">
                <c16:uniqueId val="{0000000E-8CEC-4EE2-BF27-04B31B1C503B}"/>
              </c:ext>
            </c:extLst>
          </c:dPt>
          <c:dPt>
            <c:idx val="8"/>
            <c:invertIfNegative val="0"/>
            <c:bubble3D val="0"/>
            <c:extLst>
              <c:ext xmlns:c16="http://schemas.microsoft.com/office/drawing/2014/chart" uri="{C3380CC4-5D6E-409C-BE32-E72D297353CC}">
                <c16:uniqueId val="{0000000F-8CEC-4EE2-BF27-04B31B1C503B}"/>
              </c:ext>
            </c:extLst>
          </c:dPt>
          <c:dPt>
            <c:idx val="9"/>
            <c:invertIfNegative val="0"/>
            <c:bubble3D val="0"/>
            <c:extLst>
              <c:ext xmlns:c16="http://schemas.microsoft.com/office/drawing/2014/chart" uri="{C3380CC4-5D6E-409C-BE32-E72D297353CC}">
                <c16:uniqueId val="{00000010-8CEC-4EE2-BF27-04B31B1C503B}"/>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CEC-4EE2-BF27-04B31B1C503B}"/>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8CEC-4EE2-BF27-04B31B1C503B}"/>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8CEC-4EE2-BF27-04B31B1C503B}"/>
            </c:ext>
          </c:extLst>
        </c:ser>
        <c:dLbls>
          <c:showLegendKey val="0"/>
          <c:showVal val="0"/>
          <c:showCatName val="0"/>
          <c:showSerName val="0"/>
          <c:showPercent val="0"/>
          <c:showBubbleSize val="0"/>
        </c:dLbls>
        <c:gapWidth val="110"/>
        <c:overlap val="100"/>
        <c:axId val="1181028504"/>
        <c:axId val="1181028896"/>
      </c:barChart>
      <c:catAx>
        <c:axId val="11810285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1181028896"/>
        <c:crosses val="autoZero"/>
        <c:auto val="1"/>
        <c:lblAlgn val="ctr"/>
        <c:lblOffset val="100"/>
        <c:noMultiLvlLbl val="0"/>
      </c:catAx>
      <c:valAx>
        <c:axId val="1181028896"/>
        <c:scaling>
          <c:orientation val="minMax"/>
          <c:max val="60"/>
          <c:min val="0"/>
        </c:scaling>
        <c:delete val="1"/>
        <c:axPos val="l"/>
        <c:numFmt formatCode="#,##0.0" sourceLinked="1"/>
        <c:majorTickMark val="none"/>
        <c:minorTickMark val="none"/>
        <c:tickLblPos val="nextTo"/>
        <c:crossAx val="118102850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1A12-4E0E-B919-336776F46A22}"/>
              </c:ext>
            </c:extLst>
          </c:dPt>
          <c:dPt>
            <c:idx val="2"/>
            <c:invertIfNegative val="0"/>
            <c:bubble3D val="0"/>
            <c:spPr>
              <a:solidFill>
                <a:srgbClr val="87A4D4"/>
              </a:solidFill>
            </c:spPr>
            <c:extLst>
              <c:ext xmlns:c16="http://schemas.microsoft.com/office/drawing/2014/chart" uri="{C3380CC4-5D6E-409C-BE32-E72D297353CC}">
                <c16:uniqueId val="{00000003-1A12-4E0E-B919-336776F46A22}"/>
              </c:ext>
            </c:extLst>
          </c:dPt>
          <c:dPt>
            <c:idx val="3"/>
            <c:invertIfNegative val="0"/>
            <c:bubble3D val="0"/>
            <c:spPr>
              <a:solidFill>
                <a:srgbClr val="87A4D4"/>
              </a:solidFill>
            </c:spPr>
            <c:extLst>
              <c:ext xmlns:c16="http://schemas.microsoft.com/office/drawing/2014/chart" uri="{C3380CC4-5D6E-409C-BE32-E72D297353CC}">
                <c16:uniqueId val="{00000005-1A12-4E0E-B919-336776F46A22}"/>
              </c:ext>
            </c:extLst>
          </c:dPt>
          <c:dPt>
            <c:idx val="5"/>
            <c:invertIfNegative val="0"/>
            <c:bubble3D val="0"/>
            <c:spPr>
              <a:solidFill>
                <a:srgbClr val="87A4D4"/>
              </a:solidFill>
            </c:spPr>
            <c:extLst>
              <c:ext xmlns:c16="http://schemas.microsoft.com/office/drawing/2014/chart" uri="{C3380CC4-5D6E-409C-BE32-E72D297353CC}">
                <c16:uniqueId val="{00000007-1A12-4E0E-B919-336776F46A22}"/>
              </c:ext>
            </c:extLst>
          </c:dPt>
          <c:dPt>
            <c:idx val="6"/>
            <c:invertIfNegative val="0"/>
            <c:bubble3D val="0"/>
            <c:spPr>
              <a:solidFill>
                <a:srgbClr val="87A4D4"/>
              </a:solidFill>
            </c:spPr>
            <c:extLst>
              <c:ext xmlns:c16="http://schemas.microsoft.com/office/drawing/2014/chart" uri="{C3380CC4-5D6E-409C-BE32-E72D297353CC}">
                <c16:uniqueId val="{00000009-1A12-4E0E-B919-336776F46A22}"/>
              </c:ext>
            </c:extLst>
          </c:dPt>
          <c:dPt>
            <c:idx val="7"/>
            <c:invertIfNegative val="0"/>
            <c:bubble3D val="0"/>
            <c:spPr>
              <a:solidFill>
                <a:srgbClr val="87A4D4"/>
              </a:solidFill>
            </c:spPr>
            <c:extLst>
              <c:ext xmlns:c16="http://schemas.microsoft.com/office/drawing/2014/chart" uri="{C3380CC4-5D6E-409C-BE32-E72D297353CC}">
                <c16:uniqueId val="{0000000B-1A12-4E0E-B919-336776F46A22}"/>
              </c:ext>
            </c:extLst>
          </c:dPt>
          <c:dPt>
            <c:idx val="8"/>
            <c:invertIfNegative val="0"/>
            <c:bubble3D val="0"/>
            <c:spPr>
              <a:solidFill>
                <a:srgbClr val="FA7800"/>
              </a:solidFill>
            </c:spPr>
            <c:extLst>
              <c:ext xmlns:c16="http://schemas.microsoft.com/office/drawing/2014/chart" uri="{C3380CC4-5D6E-409C-BE32-E72D297353CC}">
                <c16:uniqueId val="{0000000D-1A12-4E0E-B919-336776F46A22}"/>
              </c:ext>
            </c:extLst>
          </c:dPt>
          <c:dPt>
            <c:idx val="9"/>
            <c:invertIfNegative val="0"/>
            <c:bubble3D val="0"/>
            <c:spPr>
              <a:solidFill>
                <a:srgbClr val="FA7800"/>
              </a:solidFill>
            </c:spPr>
            <c:extLst>
              <c:ext xmlns:c16="http://schemas.microsoft.com/office/drawing/2014/chart" uri="{C3380CC4-5D6E-409C-BE32-E72D297353CC}">
                <c16:uniqueId val="{0000000F-1A12-4E0E-B919-336776F46A22}"/>
              </c:ext>
            </c:extLst>
          </c:dPt>
          <c:dLbls>
            <c:dLbl>
              <c:idx val="1"/>
              <c:delete val="1"/>
              <c:extLst>
                <c:ext xmlns:c15="http://schemas.microsoft.com/office/drawing/2012/chart" uri="{CE6537A1-D6FC-4f65-9D91-7224C49458BB}"/>
                <c:ext xmlns:c16="http://schemas.microsoft.com/office/drawing/2014/chart" uri="{C3380CC4-5D6E-409C-BE32-E72D297353CC}">
                  <c16:uniqueId val="{00000001-1A12-4E0E-B919-336776F46A22}"/>
                </c:ext>
              </c:extLst>
            </c:dLbl>
            <c:dLbl>
              <c:idx val="2"/>
              <c:delete val="1"/>
              <c:extLst>
                <c:ext xmlns:c15="http://schemas.microsoft.com/office/drawing/2012/chart" uri="{CE6537A1-D6FC-4f65-9D91-7224C49458BB}"/>
                <c:ext xmlns:c16="http://schemas.microsoft.com/office/drawing/2014/chart" uri="{C3380CC4-5D6E-409C-BE32-E72D297353CC}">
                  <c16:uniqueId val="{00000003-1A12-4E0E-B919-336776F46A22}"/>
                </c:ext>
              </c:extLst>
            </c:dLbl>
            <c:dLbl>
              <c:idx val="3"/>
              <c:delete val="1"/>
              <c:extLst>
                <c:ext xmlns:c15="http://schemas.microsoft.com/office/drawing/2012/chart" uri="{CE6537A1-D6FC-4f65-9D91-7224C49458BB}"/>
                <c:ext xmlns:c16="http://schemas.microsoft.com/office/drawing/2014/chart" uri="{C3380CC4-5D6E-409C-BE32-E72D297353CC}">
                  <c16:uniqueId val="{00000005-1A12-4E0E-B919-336776F46A22}"/>
                </c:ext>
              </c:extLst>
            </c:dLbl>
            <c:dLbl>
              <c:idx val="5"/>
              <c:delete val="1"/>
              <c:extLst>
                <c:ext xmlns:c15="http://schemas.microsoft.com/office/drawing/2012/chart" uri="{CE6537A1-D6FC-4f65-9D91-7224C49458BB}"/>
                <c:ext xmlns:c16="http://schemas.microsoft.com/office/drawing/2014/chart" uri="{C3380CC4-5D6E-409C-BE32-E72D297353CC}">
                  <c16:uniqueId val="{00000007-1A12-4E0E-B919-336776F46A22}"/>
                </c:ext>
              </c:extLst>
            </c:dLbl>
            <c:dLbl>
              <c:idx val="6"/>
              <c:delete val="1"/>
              <c:extLst>
                <c:ext xmlns:c15="http://schemas.microsoft.com/office/drawing/2012/chart" uri="{CE6537A1-D6FC-4f65-9D91-7224C49458BB}"/>
                <c:ext xmlns:c16="http://schemas.microsoft.com/office/drawing/2014/chart" uri="{C3380CC4-5D6E-409C-BE32-E72D297353CC}">
                  <c16:uniqueId val="{00000009-1A12-4E0E-B919-336776F46A22}"/>
                </c:ext>
              </c:extLst>
            </c:dLbl>
            <c:dLbl>
              <c:idx val="7"/>
              <c:delete val="1"/>
              <c:extLst>
                <c:ext xmlns:c15="http://schemas.microsoft.com/office/drawing/2012/chart" uri="{CE6537A1-D6FC-4f65-9D91-7224C49458BB}"/>
                <c:ext xmlns:c16="http://schemas.microsoft.com/office/drawing/2014/chart" uri="{C3380CC4-5D6E-409C-BE32-E72D297353CC}">
                  <c16:uniqueId val="{0000000B-1A12-4E0E-B919-336776F46A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1A12-4E0E-B919-336776F46A22}"/>
            </c:ext>
          </c:extLst>
        </c:ser>
        <c:dLbls>
          <c:showLegendKey val="0"/>
          <c:showVal val="0"/>
          <c:showCatName val="0"/>
          <c:showSerName val="0"/>
          <c:showPercent val="0"/>
          <c:showBubbleSize val="0"/>
        </c:dLbls>
        <c:gapWidth val="60"/>
        <c:axId val="1181050456"/>
        <c:axId val="1181052808"/>
      </c:barChart>
      <c:catAx>
        <c:axId val="1181050456"/>
        <c:scaling>
          <c:orientation val="minMax"/>
        </c:scaling>
        <c:delete val="0"/>
        <c:axPos val="b"/>
        <c:numFmt formatCode="General" sourceLinked="1"/>
        <c:majorTickMark val="none"/>
        <c:minorTickMark val="none"/>
        <c:tickLblPos val="none"/>
        <c:spPr>
          <a:ln w="31750">
            <a:solidFill>
              <a:schemeClr val="tx1"/>
            </a:solidFill>
          </a:ln>
        </c:spPr>
        <c:crossAx val="1181052808"/>
        <c:crosses val="autoZero"/>
        <c:auto val="1"/>
        <c:lblAlgn val="ctr"/>
        <c:lblOffset val="0"/>
        <c:noMultiLvlLbl val="0"/>
      </c:catAx>
      <c:valAx>
        <c:axId val="1181052808"/>
        <c:scaling>
          <c:orientation val="minMax"/>
          <c:max val="50"/>
          <c:min val="0"/>
        </c:scaling>
        <c:delete val="1"/>
        <c:axPos val="l"/>
        <c:numFmt formatCode="0.0" sourceLinked="1"/>
        <c:majorTickMark val="out"/>
        <c:minorTickMark val="none"/>
        <c:tickLblPos val="nextTo"/>
        <c:crossAx val="11810504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6047-478A-AC00-FA68CD4FA394}"/>
              </c:ext>
            </c:extLst>
          </c:dPt>
          <c:dPt>
            <c:idx val="2"/>
            <c:invertIfNegative val="0"/>
            <c:bubble3D val="0"/>
            <c:spPr>
              <a:solidFill>
                <a:srgbClr val="87A4D4"/>
              </a:solidFill>
            </c:spPr>
            <c:extLst>
              <c:ext xmlns:c16="http://schemas.microsoft.com/office/drawing/2014/chart" uri="{C3380CC4-5D6E-409C-BE32-E72D297353CC}">
                <c16:uniqueId val="{00000003-6047-478A-AC00-FA68CD4FA394}"/>
              </c:ext>
            </c:extLst>
          </c:dPt>
          <c:dPt>
            <c:idx val="3"/>
            <c:invertIfNegative val="0"/>
            <c:bubble3D val="0"/>
            <c:spPr>
              <a:solidFill>
                <a:srgbClr val="87A4D4"/>
              </a:solidFill>
            </c:spPr>
            <c:extLst>
              <c:ext xmlns:c16="http://schemas.microsoft.com/office/drawing/2014/chart" uri="{C3380CC4-5D6E-409C-BE32-E72D297353CC}">
                <c16:uniqueId val="{00000005-6047-478A-AC00-FA68CD4FA394}"/>
              </c:ext>
            </c:extLst>
          </c:dPt>
          <c:dPt>
            <c:idx val="5"/>
            <c:invertIfNegative val="0"/>
            <c:bubble3D val="0"/>
            <c:spPr>
              <a:solidFill>
                <a:srgbClr val="87A4D4"/>
              </a:solidFill>
            </c:spPr>
            <c:extLst>
              <c:ext xmlns:c16="http://schemas.microsoft.com/office/drawing/2014/chart" uri="{C3380CC4-5D6E-409C-BE32-E72D297353CC}">
                <c16:uniqueId val="{00000007-6047-478A-AC00-FA68CD4FA394}"/>
              </c:ext>
            </c:extLst>
          </c:dPt>
          <c:dPt>
            <c:idx val="6"/>
            <c:invertIfNegative val="0"/>
            <c:bubble3D val="0"/>
            <c:spPr>
              <a:solidFill>
                <a:srgbClr val="87A4D4"/>
              </a:solidFill>
            </c:spPr>
            <c:extLst>
              <c:ext xmlns:c16="http://schemas.microsoft.com/office/drawing/2014/chart" uri="{C3380CC4-5D6E-409C-BE32-E72D297353CC}">
                <c16:uniqueId val="{00000009-6047-478A-AC00-FA68CD4FA394}"/>
              </c:ext>
            </c:extLst>
          </c:dPt>
          <c:dPt>
            <c:idx val="7"/>
            <c:invertIfNegative val="0"/>
            <c:bubble3D val="0"/>
            <c:spPr>
              <a:solidFill>
                <a:srgbClr val="87A4D4"/>
              </a:solidFill>
            </c:spPr>
            <c:extLst>
              <c:ext xmlns:c16="http://schemas.microsoft.com/office/drawing/2014/chart" uri="{C3380CC4-5D6E-409C-BE32-E72D297353CC}">
                <c16:uniqueId val="{0000000B-6047-478A-AC00-FA68CD4FA394}"/>
              </c:ext>
            </c:extLst>
          </c:dPt>
          <c:dPt>
            <c:idx val="8"/>
            <c:invertIfNegative val="0"/>
            <c:bubble3D val="0"/>
            <c:spPr>
              <a:solidFill>
                <a:srgbClr val="FA7800"/>
              </a:solidFill>
            </c:spPr>
            <c:extLst>
              <c:ext xmlns:c16="http://schemas.microsoft.com/office/drawing/2014/chart" uri="{C3380CC4-5D6E-409C-BE32-E72D297353CC}">
                <c16:uniqueId val="{0000000D-6047-478A-AC00-FA68CD4FA394}"/>
              </c:ext>
            </c:extLst>
          </c:dPt>
          <c:dPt>
            <c:idx val="9"/>
            <c:invertIfNegative val="0"/>
            <c:bubble3D val="0"/>
            <c:spPr>
              <a:solidFill>
                <a:srgbClr val="FA7800"/>
              </a:solidFill>
            </c:spPr>
            <c:extLst>
              <c:ext xmlns:c16="http://schemas.microsoft.com/office/drawing/2014/chart" uri="{C3380CC4-5D6E-409C-BE32-E72D297353CC}">
                <c16:uniqueId val="{0000000F-6047-478A-AC00-FA68CD4FA394}"/>
              </c:ext>
            </c:extLst>
          </c:dPt>
          <c:dLbls>
            <c:dLbl>
              <c:idx val="1"/>
              <c:delete val="1"/>
              <c:extLst>
                <c:ext xmlns:c15="http://schemas.microsoft.com/office/drawing/2012/chart" uri="{CE6537A1-D6FC-4f65-9D91-7224C49458BB}"/>
                <c:ext xmlns:c16="http://schemas.microsoft.com/office/drawing/2014/chart" uri="{C3380CC4-5D6E-409C-BE32-E72D297353CC}">
                  <c16:uniqueId val="{00000001-6047-478A-AC00-FA68CD4FA394}"/>
                </c:ext>
              </c:extLst>
            </c:dLbl>
            <c:dLbl>
              <c:idx val="2"/>
              <c:delete val="1"/>
              <c:extLst>
                <c:ext xmlns:c15="http://schemas.microsoft.com/office/drawing/2012/chart" uri="{CE6537A1-D6FC-4f65-9D91-7224C49458BB}"/>
                <c:ext xmlns:c16="http://schemas.microsoft.com/office/drawing/2014/chart" uri="{C3380CC4-5D6E-409C-BE32-E72D297353CC}">
                  <c16:uniqueId val="{00000003-6047-478A-AC00-FA68CD4FA394}"/>
                </c:ext>
              </c:extLst>
            </c:dLbl>
            <c:dLbl>
              <c:idx val="3"/>
              <c:delete val="1"/>
              <c:extLst>
                <c:ext xmlns:c15="http://schemas.microsoft.com/office/drawing/2012/chart" uri="{CE6537A1-D6FC-4f65-9D91-7224C49458BB}"/>
                <c:ext xmlns:c16="http://schemas.microsoft.com/office/drawing/2014/chart" uri="{C3380CC4-5D6E-409C-BE32-E72D297353CC}">
                  <c16:uniqueId val="{00000005-6047-478A-AC00-FA68CD4FA394}"/>
                </c:ext>
              </c:extLst>
            </c:dLbl>
            <c:dLbl>
              <c:idx val="5"/>
              <c:delete val="1"/>
              <c:extLst>
                <c:ext xmlns:c15="http://schemas.microsoft.com/office/drawing/2012/chart" uri="{CE6537A1-D6FC-4f65-9D91-7224C49458BB}"/>
                <c:ext xmlns:c16="http://schemas.microsoft.com/office/drawing/2014/chart" uri="{C3380CC4-5D6E-409C-BE32-E72D297353CC}">
                  <c16:uniqueId val="{00000007-6047-478A-AC00-FA68CD4FA394}"/>
                </c:ext>
              </c:extLst>
            </c:dLbl>
            <c:dLbl>
              <c:idx val="6"/>
              <c:delete val="1"/>
              <c:extLst>
                <c:ext xmlns:c15="http://schemas.microsoft.com/office/drawing/2012/chart" uri="{CE6537A1-D6FC-4f65-9D91-7224C49458BB}"/>
                <c:ext xmlns:c16="http://schemas.microsoft.com/office/drawing/2014/chart" uri="{C3380CC4-5D6E-409C-BE32-E72D297353CC}">
                  <c16:uniqueId val="{00000009-6047-478A-AC00-FA68CD4FA394}"/>
                </c:ext>
              </c:extLst>
            </c:dLbl>
            <c:dLbl>
              <c:idx val="7"/>
              <c:delete val="1"/>
              <c:extLst>
                <c:ext xmlns:c15="http://schemas.microsoft.com/office/drawing/2012/chart" uri="{CE6537A1-D6FC-4f65-9D91-7224C49458BB}"/>
                <c:ext xmlns:c16="http://schemas.microsoft.com/office/drawing/2014/chart" uri="{C3380CC4-5D6E-409C-BE32-E72D297353CC}">
                  <c16:uniqueId val="{0000000B-6047-478A-AC00-FA68CD4FA394}"/>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6047-478A-AC00-FA68CD4FA394}"/>
            </c:ext>
          </c:extLst>
        </c:ser>
        <c:dLbls>
          <c:showLegendKey val="0"/>
          <c:showVal val="0"/>
          <c:showCatName val="0"/>
          <c:showSerName val="0"/>
          <c:showPercent val="0"/>
          <c:showBubbleSize val="0"/>
        </c:dLbls>
        <c:gapWidth val="40"/>
        <c:axId val="1181052416"/>
        <c:axId val="1181060256"/>
      </c:barChart>
      <c:catAx>
        <c:axId val="1181052416"/>
        <c:scaling>
          <c:orientation val="minMax"/>
        </c:scaling>
        <c:delete val="0"/>
        <c:axPos val="b"/>
        <c:numFmt formatCode="General" sourceLinked="1"/>
        <c:majorTickMark val="none"/>
        <c:minorTickMark val="none"/>
        <c:tickLblPos val="none"/>
        <c:spPr>
          <a:ln w="31750">
            <a:solidFill>
              <a:schemeClr val="tx1"/>
            </a:solidFill>
          </a:ln>
        </c:spPr>
        <c:crossAx val="1181060256"/>
        <c:crosses val="autoZero"/>
        <c:auto val="1"/>
        <c:lblAlgn val="ctr"/>
        <c:lblOffset val="0"/>
        <c:noMultiLvlLbl val="0"/>
      </c:catAx>
      <c:valAx>
        <c:axId val="1181060256"/>
        <c:scaling>
          <c:orientation val="minMax"/>
          <c:max val="100"/>
          <c:min val="0"/>
        </c:scaling>
        <c:delete val="1"/>
        <c:axPos val="l"/>
        <c:numFmt formatCode="0.0" sourceLinked="1"/>
        <c:majorTickMark val="out"/>
        <c:minorTickMark val="none"/>
        <c:tickLblPos val="nextTo"/>
        <c:crossAx val="11810524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F85-418D-AD75-2B43152E390E}"/>
            </c:ext>
          </c:extLst>
        </c:ser>
        <c:dLbls>
          <c:showLegendKey val="0"/>
          <c:showVal val="0"/>
          <c:showCatName val="0"/>
          <c:showSerName val="0"/>
          <c:showPercent val="0"/>
          <c:showBubbleSize val="0"/>
        </c:dLbls>
        <c:gapWidth val="60"/>
        <c:axId val="1181050848"/>
        <c:axId val="1181055944"/>
      </c:barChart>
      <c:catAx>
        <c:axId val="1181050848"/>
        <c:scaling>
          <c:orientation val="minMax"/>
        </c:scaling>
        <c:delete val="1"/>
        <c:axPos val="b"/>
        <c:numFmt formatCode="General" sourceLinked="1"/>
        <c:majorTickMark val="none"/>
        <c:minorTickMark val="none"/>
        <c:tickLblPos val="nextTo"/>
        <c:crossAx val="1181055944"/>
        <c:crosses val="autoZero"/>
        <c:auto val="1"/>
        <c:lblAlgn val="ctr"/>
        <c:lblOffset val="0"/>
        <c:noMultiLvlLbl val="0"/>
      </c:catAx>
      <c:valAx>
        <c:axId val="1181055944"/>
        <c:scaling>
          <c:orientation val="minMax"/>
          <c:max val="35"/>
          <c:min val="-15"/>
        </c:scaling>
        <c:delete val="1"/>
        <c:axPos val="l"/>
        <c:numFmt formatCode="0.0" sourceLinked="1"/>
        <c:majorTickMark val="out"/>
        <c:minorTickMark val="none"/>
        <c:tickLblPos val="nextTo"/>
        <c:crossAx val="11810508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DD13-4A35-819A-AB71659D838F}"/>
              </c:ext>
            </c:extLst>
          </c:dPt>
          <c:dPt>
            <c:idx val="4"/>
            <c:invertIfNegative val="0"/>
            <c:bubble3D val="0"/>
            <c:spPr>
              <a:solidFill>
                <a:srgbClr val="3562A8"/>
              </a:solidFill>
            </c:spPr>
            <c:extLst>
              <c:ext xmlns:c16="http://schemas.microsoft.com/office/drawing/2014/chart" uri="{C3380CC4-5D6E-409C-BE32-E72D297353CC}">
                <c16:uniqueId val="{00000003-DD13-4A35-819A-AB71659D838F}"/>
              </c:ext>
            </c:extLst>
          </c:dPt>
          <c:dPt>
            <c:idx val="8"/>
            <c:invertIfNegative val="0"/>
            <c:bubble3D val="0"/>
            <c:spPr>
              <a:solidFill>
                <a:srgbClr val="FA7800"/>
              </a:solidFill>
            </c:spPr>
            <c:extLst>
              <c:ext xmlns:c16="http://schemas.microsoft.com/office/drawing/2014/chart" uri="{C3380CC4-5D6E-409C-BE32-E72D297353CC}">
                <c16:uniqueId val="{00000005-DD13-4A35-819A-AB71659D838F}"/>
              </c:ext>
            </c:extLst>
          </c:dPt>
          <c:dPt>
            <c:idx val="9"/>
            <c:invertIfNegative val="0"/>
            <c:bubble3D val="0"/>
            <c:extLst>
              <c:ext xmlns:c16="http://schemas.microsoft.com/office/drawing/2014/chart" uri="{C3380CC4-5D6E-409C-BE32-E72D297353CC}">
                <c16:uniqueId val="{00000006-DD13-4A35-819A-AB71659D838F}"/>
              </c:ext>
            </c:extLst>
          </c:dPt>
          <c:dLbls>
            <c:dLbl>
              <c:idx val="1"/>
              <c:delete val="1"/>
              <c:extLst>
                <c:ext xmlns:c15="http://schemas.microsoft.com/office/drawing/2012/chart" uri="{CE6537A1-D6FC-4f65-9D91-7224C49458BB}"/>
                <c:ext xmlns:c16="http://schemas.microsoft.com/office/drawing/2014/chart" uri="{C3380CC4-5D6E-409C-BE32-E72D297353CC}">
                  <c16:uniqueId val="{00000007-DD13-4A35-819A-AB71659D838F}"/>
                </c:ext>
              </c:extLst>
            </c:dLbl>
            <c:dLbl>
              <c:idx val="2"/>
              <c:delete val="1"/>
              <c:extLst>
                <c:ext xmlns:c15="http://schemas.microsoft.com/office/drawing/2012/chart" uri="{CE6537A1-D6FC-4f65-9D91-7224C49458BB}"/>
                <c:ext xmlns:c16="http://schemas.microsoft.com/office/drawing/2014/chart" uri="{C3380CC4-5D6E-409C-BE32-E72D297353CC}">
                  <c16:uniqueId val="{00000008-DD13-4A35-819A-AB71659D838F}"/>
                </c:ext>
              </c:extLst>
            </c:dLbl>
            <c:dLbl>
              <c:idx val="3"/>
              <c:delete val="1"/>
              <c:extLst>
                <c:ext xmlns:c15="http://schemas.microsoft.com/office/drawing/2012/chart" uri="{CE6537A1-D6FC-4f65-9D91-7224C49458BB}"/>
                <c:ext xmlns:c16="http://schemas.microsoft.com/office/drawing/2014/chart" uri="{C3380CC4-5D6E-409C-BE32-E72D297353CC}">
                  <c16:uniqueId val="{00000009-DD13-4A35-819A-AB71659D838F}"/>
                </c:ext>
              </c:extLst>
            </c:dLbl>
            <c:dLbl>
              <c:idx val="5"/>
              <c:delete val="1"/>
              <c:extLst>
                <c:ext xmlns:c15="http://schemas.microsoft.com/office/drawing/2012/chart" uri="{CE6537A1-D6FC-4f65-9D91-7224C49458BB}"/>
                <c:ext xmlns:c16="http://schemas.microsoft.com/office/drawing/2014/chart" uri="{C3380CC4-5D6E-409C-BE32-E72D297353CC}">
                  <c16:uniqueId val="{0000000A-DD13-4A35-819A-AB71659D838F}"/>
                </c:ext>
              </c:extLst>
            </c:dLbl>
            <c:dLbl>
              <c:idx val="6"/>
              <c:delete val="1"/>
              <c:extLst>
                <c:ext xmlns:c15="http://schemas.microsoft.com/office/drawing/2012/chart" uri="{CE6537A1-D6FC-4f65-9D91-7224C49458BB}"/>
                <c:ext xmlns:c16="http://schemas.microsoft.com/office/drawing/2014/chart" uri="{C3380CC4-5D6E-409C-BE32-E72D297353CC}">
                  <c16:uniqueId val="{0000000B-DD13-4A35-819A-AB71659D838F}"/>
                </c:ext>
              </c:extLst>
            </c:dLbl>
            <c:dLbl>
              <c:idx val="7"/>
              <c:delete val="1"/>
              <c:extLst>
                <c:ext xmlns:c15="http://schemas.microsoft.com/office/drawing/2012/chart" uri="{CE6537A1-D6FC-4f65-9D91-7224C49458BB}"/>
                <c:ext xmlns:c16="http://schemas.microsoft.com/office/drawing/2014/chart" uri="{C3380CC4-5D6E-409C-BE32-E72D297353CC}">
                  <c16:uniqueId val="{0000000C-DD13-4A35-819A-AB71659D838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DD13-4A35-819A-AB71659D838F}"/>
            </c:ext>
          </c:extLst>
        </c:ser>
        <c:dLbls>
          <c:showLegendKey val="0"/>
          <c:showVal val="0"/>
          <c:showCatName val="0"/>
          <c:showSerName val="0"/>
          <c:showPercent val="0"/>
          <c:showBubbleSize val="0"/>
        </c:dLbls>
        <c:gapWidth val="40"/>
        <c:axId val="1181049672"/>
        <c:axId val="118105124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DD13-4A35-819A-AB71659D838F}"/>
            </c:ext>
          </c:extLst>
        </c:ser>
        <c:dLbls>
          <c:showLegendKey val="0"/>
          <c:showVal val="0"/>
          <c:showCatName val="0"/>
          <c:showSerName val="0"/>
          <c:showPercent val="0"/>
          <c:showBubbleSize val="0"/>
        </c:dLbls>
        <c:marker val="1"/>
        <c:smooth val="0"/>
        <c:axId val="1181056336"/>
        <c:axId val="1181061432"/>
      </c:lineChart>
      <c:catAx>
        <c:axId val="1181049672"/>
        <c:scaling>
          <c:orientation val="minMax"/>
        </c:scaling>
        <c:delete val="0"/>
        <c:axPos val="b"/>
        <c:numFmt formatCode="General" sourceLinked="1"/>
        <c:majorTickMark val="none"/>
        <c:minorTickMark val="none"/>
        <c:tickLblPos val="none"/>
        <c:spPr>
          <a:ln w="31750">
            <a:solidFill>
              <a:schemeClr val="tx1"/>
            </a:solidFill>
          </a:ln>
        </c:spPr>
        <c:crossAx val="1181051240"/>
        <c:crosses val="autoZero"/>
        <c:auto val="1"/>
        <c:lblAlgn val="ctr"/>
        <c:lblOffset val="0"/>
        <c:noMultiLvlLbl val="0"/>
      </c:catAx>
      <c:valAx>
        <c:axId val="1181051240"/>
        <c:scaling>
          <c:orientation val="minMax"/>
          <c:max val="100"/>
          <c:min val="0"/>
        </c:scaling>
        <c:delete val="1"/>
        <c:axPos val="l"/>
        <c:numFmt formatCode="0.0" sourceLinked="1"/>
        <c:majorTickMark val="out"/>
        <c:minorTickMark val="none"/>
        <c:tickLblPos val="nextTo"/>
        <c:crossAx val="1181049672"/>
        <c:crosses val="autoZero"/>
        <c:crossBetween val="between"/>
        <c:majorUnit val="15"/>
      </c:valAx>
      <c:valAx>
        <c:axId val="1181061432"/>
        <c:scaling>
          <c:orientation val="minMax"/>
        </c:scaling>
        <c:delete val="0"/>
        <c:axPos val="r"/>
        <c:numFmt formatCode="0.0" sourceLinked="1"/>
        <c:majorTickMark val="none"/>
        <c:minorTickMark val="none"/>
        <c:tickLblPos val="none"/>
        <c:spPr>
          <a:ln>
            <a:noFill/>
          </a:ln>
        </c:spPr>
        <c:crossAx val="1181056336"/>
        <c:crosses val="max"/>
        <c:crossBetween val="between"/>
      </c:valAx>
      <c:catAx>
        <c:axId val="1181056336"/>
        <c:scaling>
          <c:orientation val="minMax"/>
        </c:scaling>
        <c:delete val="1"/>
        <c:axPos val="b"/>
        <c:numFmt formatCode="General" sourceLinked="1"/>
        <c:majorTickMark val="out"/>
        <c:minorTickMark val="none"/>
        <c:tickLblPos val="nextTo"/>
        <c:crossAx val="11810614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A467-45DA-8539-F1B45006566B}"/>
              </c:ext>
            </c:extLst>
          </c:dPt>
          <c:dPt>
            <c:idx val="2"/>
            <c:invertIfNegative val="0"/>
            <c:bubble3D val="0"/>
            <c:spPr>
              <a:solidFill>
                <a:srgbClr val="87A4D4"/>
              </a:solidFill>
            </c:spPr>
            <c:extLst>
              <c:ext xmlns:c16="http://schemas.microsoft.com/office/drawing/2014/chart" uri="{C3380CC4-5D6E-409C-BE32-E72D297353CC}">
                <c16:uniqueId val="{00000003-A467-45DA-8539-F1B45006566B}"/>
              </c:ext>
            </c:extLst>
          </c:dPt>
          <c:dPt>
            <c:idx val="3"/>
            <c:invertIfNegative val="0"/>
            <c:bubble3D val="0"/>
            <c:spPr>
              <a:solidFill>
                <a:srgbClr val="87A4D4"/>
              </a:solidFill>
            </c:spPr>
            <c:extLst>
              <c:ext xmlns:c16="http://schemas.microsoft.com/office/drawing/2014/chart" uri="{C3380CC4-5D6E-409C-BE32-E72D297353CC}">
                <c16:uniqueId val="{00000005-A467-45DA-8539-F1B45006566B}"/>
              </c:ext>
            </c:extLst>
          </c:dPt>
          <c:dPt>
            <c:idx val="5"/>
            <c:invertIfNegative val="0"/>
            <c:bubble3D val="0"/>
            <c:spPr>
              <a:solidFill>
                <a:srgbClr val="87A4D4"/>
              </a:solidFill>
            </c:spPr>
            <c:extLst>
              <c:ext xmlns:c16="http://schemas.microsoft.com/office/drawing/2014/chart" uri="{C3380CC4-5D6E-409C-BE32-E72D297353CC}">
                <c16:uniqueId val="{00000007-A467-45DA-8539-F1B45006566B}"/>
              </c:ext>
            </c:extLst>
          </c:dPt>
          <c:dPt>
            <c:idx val="6"/>
            <c:invertIfNegative val="0"/>
            <c:bubble3D val="0"/>
            <c:spPr>
              <a:solidFill>
                <a:srgbClr val="87A4D4"/>
              </a:solidFill>
            </c:spPr>
            <c:extLst>
              <c:ext xmlns:c16="http://schemas.microsoft.com/office/drawing/2014/chart" uri="{C3380CC4-5D6E-409C-BE32-E72D297353CC}">
                <c16:uniqueId val="{00000009-A467-45DA-8539-F1B45006566B}"/>
              </c:ext>
            </c:extLst>
          </c:dPt>
          <c:dPt>
            <c:idx val="7"/>
            <c:invertIfNegative val="0"/>
            <c:bubble3D val="0"/>
            <c:spPr>
              <a:solidFill>
                <a:srgbClr val="87A4D4"/>
              </a:solidFill>
            </c:spPr>
            <c:extLst>
              <c:ext xmlns:c16="http://schemas.microsoft.com/office/drawing/2014/chart" uri="{C3380CC4-5D6E-409C-BE32-E72D297353CC}">
                <c16:uniqueId val="{0000000B-A467-45DA-8539-F1B45006566B}"/>
              </c:ext>
            </c:extLst>
          </c:dPt>
          <c:dPt>
            <c:idx val="8"/>
            <c:invertIfNegative val="0"/>
            <c:bubble3D val="0"/>
            <c:spPr>
              <a:solidFill>
                <a:srgbClr val="FA7800"/>
              </a:solidFill>
            </c:spPr>
            <c:extLst>
              <c:ext xmlns:c16="http://schemas.microsoft.com/office/drawing/2014/chart" uri="{C3380CC4-5D6E-409C-BE32-E72D297353CC}">
                <c16:uniqueId val="{0000000D-A467-45DA-8539-F1B45006566B}"/>
              </c:ext>
            </c:extLst>
          </c:dPt>
          <c:dPt>
            <c:idx val="9"/>
            <c:invertIfNegative val="0"/>
            <c:bubble3D val="0"/>
            <c:spPr>
              <a:solidFill>
                <a:srgbClr val="FA7800"/>
              </a:solidFill>
            </c:spPr>
            <c:extLst>
              <c:ext xmlns:c16="http://schemas.microsoft.com/office/drawing/2014/chart" uri="{C3380CC4-5D6E-409C-BE32-E72D297353CC}">
                <c16:uniqueId val="{0000000F-A467-45DA-8539-F1B45006566B}"/>
              </c:ext>
            </c:extLst>
          </c:dPt>
          <c:dLbls>
            <c:dLbl>
              <c:idx val="1"/>
              <c:delete val="1"/>
              <c:extLst>
                <c:ext xmlns:c15="http://schemas.microsoft.com/office/drawing/2012/chart" uri="{CE6537A1-D6FC-4f65-9D91-7224C49458BB}"/>
                <c:ext xmlns:c16="http://schemas.microsoft.com/office/drawing/2014/chart" uri="{C3380CC4-5D6E-409C-BE32-E72D297353CC}">
                  <c16:uniqueId val="{00000001-A467-45DA-8539-F1B45006566B}"/>
                </c:ext>
              </c:extLst>
            </c:dLbl>
            <c:dLbl>
              <c:idx val="2"/>
              <c:delete val="1"/>
              <c:extLst>
                <c:ext xmlns:c15="http://schemas.microsoft.com/office/drawing/2012/chart" uri="{CE6537A1-D6FC-4f65-9D91-7224C49458BB}"/>
                <c:ext xmlns:c16="http://schemas.microsoft.com/office/drawing/2014/chart" uri="{C3380CC4-5D6E-409C-BE32-E72D297353CC}">
                  <c16:uniqueId val="{00000003-A467-45DA-8539-F1B45006566B}"/>
                </c:ext>
              </c:extLst>
            </c:dLbl>
            <c:dLbl>
              <c:idx val="3"/>
              <c:delete val="1"/>
              <c:extLst>
                <c:ext xmlns:c15="http://schemas.microsoft.com/office/drawing/2012/chart" uri="{CE6537A1-D6FC-4f65-9D91-7224C49458BB}"/>
                <c:ext xmlns:c16="http://schemas.microsoft.com/office/drawing/2014/chart" uri="{C3380CC4-5D6E-409C-BE32-E72D297353CC}">
                  <c16:uniqueId val="{00000005-A467-45DA-8539-F1B45006566B}"/>
                </c:ext>
              </c:extLst>
            </c:dLbl>
            <c:dLbl>
              <c:idx val="5"/>
              <c:delete val="1"/>
              <c:extLst>
                <c:ext xmlns:c15="http://schemas.microsoft.com/office/drawing/2012/chart" uri="{CE6537A1-D6FC-4f65-9D91-7224C49458BB}"/>
                <c:ext xmlns:c16="http://schemas.microsoft.com/office/drawing/2014/chart" uri="{C3380CC4-5D6E-409C-BE32-E72D297353CC}">
                  <c16:uniqueId val="{00000007-A467-45DA-8539-F1B45006566B}"/>
                </c:ext>
              </c:extLst>
            </c:dLbl>
            <c:dLbl>
              <c:idx val="6"/>
              <c:delete val="1"/>
              <c:extLst>
                <c:ext xmlns:c15="http://schemas.microsoft.com/office/drawing/2012/chart" uri="{CE6537A1-D6FC-4f65-9D91-7224C49458BB}"/>
                <c:ext xmlns:c16="http://schemas.microsoft.com/office/drawing/2014/chart" uri="{C3380CC4-5D6E-409C-BE32-E72D297353CC}">
                  <c16:uniqueId val="{00000009-A467-45DA-8539-F1B45006566B}"/>
                </c:ext>
              </c:extLst>
            </c:dLbl>
            <c:dLbl>
              <c:idx val="7"/>
              <c:delete val="1"/>
              <c:extLst>
                <c:ext xmlns:c15="http://schemas.microsoft.com/office/drawing/2012/chart" uri="{CE6537A1-D6FC-4f65-9D91-7224C49458BB}"/>
                <c:ext xmlns:c16="http://schemas.microsoft.com/office/drawing/2014/chart" uri="{C3380CC4-5D6E-409C-BE32-E72D297353CC}">
                  <c16:uniqueId val="{0000000B-A467-45DA-8539-F1B45006566B}"/>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A467-45DA-8539-F1B45006566B}"/>
            </c:ext>
          </c:extLst>
        </c:ser>
        <c:dLbls>
          <c:showLegendKey val="0"/>
          <c:showVal val="0"/>
          <c:showCatName val="0"/>
          <c:showSerName val="0"/>
          <c:showPercent val="0"/>
          <c:showBubbleSize val="0"/>
        </c:dLbls>
        <c:gapWidth val="40"/>
        <c:axId val="1181053592"/>
        <c:axId val="1181055552"/>
      </c:barChart>
      <c:catAx>
        <c:axId val="1181053592"/>
        <c:scaling>
          <c:orientation val="minMax"/>
        </c:scaling>
        <c:delete val="0"/>
        <c:axPos val="b"/>
        <c:numFmt formatCode="General" sourceLinked="1"/>
        <c:majorTickMark val="none"/>
        <c:minorTickMark val="none"/>
        <c:tickLblPos val="none"/>
        <c:spPr>
          <a:ln w="31750">
            <a:solidFill>
              <a:schemeClr val="tx1"/>
            </a:solidFill>
          </a:ln>
        </c:spPr>
        <c:crossAx val="1181055552"/>
        <c:crosses val="autoZero"/>
        <c:auto val="1"/>
        <c:lblAlgn val="ctr"/>
        <c:lblOffset val="0"/>
        <c:noMultiLvlLbl val="0"/>
      </c:catAx>
      <c:valAx>
        <c:axId val="1181055552"/>
        <c:scaling>
          <c:orientation val="minMax"/>
          <c:max val="100"/>
          <c:min val="10"/>
        </c:scaling>
        <c:delete val="1"/>
        <c:axPos val="l"/>
        <c:numFmt formatCode="0.0" sourceLinked="1"/>
        <c:majorTickMark val="out"/>
        <c:minorTickMark val="none"/>
        <c:tickLblPos val="nextTo"/>
        <c:crossAx val="11810535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31.12.2018</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0E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0E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0E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0E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0E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0E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0E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0E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0E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0E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0E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0E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0E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0E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0E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0E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0E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0E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0E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0E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0E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0E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0E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0E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0E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Finance\Uppgj&#246;r\D&#243;tturf&#233;l&#246;g\Samst&#230;&#240;uskj&#246;l\2010\06%20J&#250;n&#237;\Samst&#230;&#240;a%20Arion%20banki%2030.06.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Fj&#225;rm&#225;lasvi&#240;\Uppgj&#246;r%20-%20Samst&#230;&#240;a\Factbook\2018\Q4%202018\Q4%202018%20Factbook%20vaxta%20resta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j&#225;rm&#225;lasvi&#240;\Uppgj&#246;r%20-%20Samst&#230;&#240;a\Handrit\2018\12%20Desember\Ensk%20&#250;tg&#225;fa\Samst&#230;&#240;a%20Arion%20banki%2031.12.2018.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Fj&#225;rm&#225;lasvi&#240;\Uppgj&#246;r%20-%20Samst&#230;&#240;a\Handrit\2018\12%20Desember\Ensk%20&#250;tg&#225;fa\Q4%20Rekstur,%20efnahagur%20og%20sk&#253;ringar%20201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et interest income 9 quarters"/>
      <sheetName val="2018"/>
      <sheetName val="2017"/>
      <sheetName val="KFI old"/>
      <sheetName val="P&amp;L_Q (2) old"/>
      <sheetName val="FTE´S old"/>
      <sheetName val="LB_Q old"/>
    </sheetNames>
    <sheetDataSet>
      <sheetData sheetId="0"/>
      <sheetData sheetId="1"/>
      <sheetData sheetId="2">
        <row r="18">
          <cell r="H18">
            <v>83138.529681</v>
          </cell>
          <cell r="I18">
            <v>95274.015411</v>
          </cell>
          <cell r="J18">
            <v>110872.04652</v>
          </cell>
          <cell r="K18">
            <v>96648.663172999994</v>
          </cell>
        </row>
        <row r="19">
          <cell r="H19">
            <v>890147.21965700004</v>
          </cell>
          <cell r="I19">
            <v>914462.12719599996</v>
          </cell>
          <cell r="J19">
            <v>886750.35482699994</v>
          </cell>
          <cell r="K19">
            <v>853135.31189400004</v>
          </cell>
        </row>
        <row r="20">
          <cell r="H20">
            <v>87701.492964000005</v>
          </cell>
          <cell r="I20">
            <v>79852.183732999998</v>
          </cell>
          <cell r="J20">
            <v>64188</v>
          </cell>
          <cell r="K20">
            <v>71409.110069999995</v>
          </cell>
        </row>
        <row r="24">
          <cell r="H24">
            <v>-9203.9093549999998</v>
          </cell>
          <cell r="I24">
            <v>-15369.704395999999</v>
          </cell>
          <cell r="J24">
            <v>-6336.432984</v>
          </cell>
          <cell r="K24">
            <v>-7880.3805220000004</v>
          </cell>
        </row>
        <row r="25">
          <cell r="H25">
            <v>-466067.35062400001</v>
          </cell>
          <cell r="I25">
            <v>-484569.228152</v>
          </cell>
          <cell r="J25">
            <v>-476182.22279899998</v>
          </cell>
          <cell r="K25">
            <v>-453058.75998099998</v>
          </cell>
        </row>
        <row r="26">
          <cell r="H26">
            <v>-2319.584828</v>
          </cell>
          <cell r="I26">
            <v>-3348.3618310000002</v>
          </cell>
          <cell r="J26">
            <v>-3885.565032</v>
          </cell>
          <cell r="K26">
            <v>-3127.4009120000001</v>
          </cell>
        </row>
        <row r="27">
          <cell r="H27">
            <v>-417782.05462800001</v>
          </cell>
          <cell r="I27">
            <v>-425591.289467</v>
          </cell>
          <cell r="J27">
            <v>-410762.36221300001</v>
          </cell>
          <cell r="K27">
            <v>-399337.94142599998</v>
          </cell>
        </row>
        <row r="28">
          <cell r="H28">
            <v>-6531.6386469999998</v>
          </cell>
          <cell r="I28">
            <v>0</v>
          </cell>
          <cell r="J28">
            <v>0</v>
          </cell>
          <cell r="K28">
            <v>0</v>
          </cell>
        </row>
      </sheetData>
      <sheetData sheetId="3">
        <row r="18">
          <cell r="H18">
            <v>135393.30804</v>
          </cell>
          <cell r="I18">
            <v>129321.416895</v>
          </cell>
          <cell r="J18">
            <v>146938.02487600001</v>
          </cell>
          <cell r="K18">
            <v>176653.142257</v>
          </cell>
        </row>
        <row r="19">
          <cell r="H19">
            <v>823462.32943499996</v>
          </cell>
          <cell r="I19">
            <v>814986.61410500004</v>
          </cell>
          <cell r="J19">
            <v>785336.731868</v>
          </cell>
          <cell r="K19">
            <v>764630.38334299996</v>
          </cell>
        </row>
        <row r="20">
          <cell r="H20">
            <v>65389.177713999998</v>
          </cell>
          <cell r="I20">
            <v>75877.390314999997</v>
          </cell>
          <cell r="J20">
            <v>73076.886031999995</v>
          </cell>
          <cell r="K20">
            <v>78231.647584999999</v>
          </cell>
        </row>
        <row r="24">
          <cell r="H24">
            <v>-7370.2596960000001</v>
          </cell>
          <cell r="I24">
            <v>-7097.047818</v>
          </cell>
          <cell r="J24">
            <v>-7644.4744280000004</v>
          </cell>
          <cell r="K24">
            <v>-9269.6036619999995</v>
          </cell>
        </row>
        <row r="25">
          <cell r="H25">
            <v>-462161.186583</v>
          </cell>
          <cell r="I25">
            <v>-445980.698347</v>
          </cell>
          <cell r="J25">
            <v>-437494.48015399999</v>
          </cell>
          <cell r="K25">
            <v>-475640.96600499999</v>
          </cell>
        </row>
        <row r="26">
          <cell r="H26">
            <v>-3514.8718909999998</v>
          </cell>
          <cell r="I26">
            <v>-3432.6911169999998</v>
          </cell>
          <cell r="J26">
            <v>-4990.2169020000001</v>
          </cell>
          <cell r="K26">
            <v>-3921.9605740000002</v>
          </cell>
        </row>
        <row r="27">
          <cell r="H27">
            <v>-383151.26958099997</v>
          </cell>
          <cell r="I27">
            <v>-398054.69863599999</v>
          </cell>
          <cell r="J27">
            <v>-377823.670476</v>
          </cell>
          <cell r="K27">
            <v>-355633.13504600001</v>
          </cell>
        </row>
        <row r="28">
          <cell r="H28">
            <v>0</v>
          </cell>
          <cell r="I28">
            <v>0</v>
          </cell>
          <cell r="J28">
            <v>0</v>
          </cell>
          <cell r="K28">
            <v>0</v>
          </cell>
        </row>
      </sheetData>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come YoY"/>
      <sheetName val="Balance set"/>
      <sheetName val="Rekstur"/>
      <sheetName val="Efnahagur"/>
      <sheetName val="E.fé"/>
      <sheetName val="Month"/>
      <sheetName val="Samstæða Arion banki 31.12"/>
    </sheetNames>
    <definedNames>
      <definedName name="Assets_CPI_13"/>
      <definedName name="CreditQual_14"/>
      <definedName name="Curr_risk"/>
      <definedName name="Ind_Impaired"/>
      <definedName name="LoansAndRecBySec_1"/>
      <definedName name="LoansAndRecBySec_10"/>
      <definedName name="LoansAndRecBySec_11"/>
      <definedName name="LoansAndRecBySec_2"/>
      <definedName name="LoansAndRecBySec_3"/>
      <definedName name="LoansAndRecBySec_4"/>
      <definedName name="LoansAndRecBySec_5"/>
      <definedName name="LoansAndRecBySec_6"/>
      <definedName name="LoansAndRecBySec_7"/>
      <definedName name="LoansAndRecBySec_8"/>
      <definedName name="LoansAndRecBySec_9"/>
      <definedName name="LTCr_Bank"/>
      <definedName name="LTCr_MML"/>
      <definedName name="LTCr_Other"/>
      <definedName name="LTCr_Prov"/>
      <definedName name="LTCu_14"/>
      <definedName name="LTCu_15"/>
      <definedName name="LTCu_16"/>
      <definedName name="LTCu_17"/>
      <definedName name="LTCu_18"/>
      <definedName name="LTCu_19"/>
      <definedName name="LTCu_20"/>
      <definedName name="LTCu_7"/>
    </defined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stur"/>
      <sheetName val="Önnur heildarafkoma"/>
      <sheetName val="Efnahagur"/>
      <sheetName val="Notes#1"/>
      <sheetName val="Notes#3"/>
      <sheetName val="5 ára yfirlit"/>
      <sheetName val="#notes Rekstur Q"/>
      <sheetName val="Kennitölur (2)"/>
      <sheetName val="Kennitölur"/>
      <sheetName val="Hafa í huga"/>
    </sheetNames>
    <sheetDataSet>
      <sheetData sheetId="0"/>
      <sheetData sheetId="1"/>
      <sheetData sheetId="2"/>
      <sheetData sheetId="3"/>
      <sheetData sheetId="4">
        <row r="543">
          <cell r="F543"/>
          <cell r="G543"/>
          <cell r="H543"/>
          <cell r="I543"/>
          <cell r="J543"/>
          <cell r="K543"/>
          <cell r="L543"/>
          <cell r="M543"/>
          <cell r="N543"/>
          <cell r="O543"/>
          <cell r="P543"/>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FAC"/>
    <pageSetUpPr fitToPage="1"/>
  </sheetPr>
  <dimension ref="A1:N70"/>
  <sheetViews>
    <sheetView tabSelected="1" zoomScale="112" zoomScaleNormal="112" zoomScaleSheetLayoutView="100" zoomScalePageLayoutView="40" workbookViewId="0">
      <selection activeCell="C5" sqref="C5"/>
    </sheetView>
  </sheetViews>
  <sheetFormatPr defaultColWidth="9.1796875" defaultRowHeight="14.5"/>
  <cols>
    <col min="1" max="7" width="9.1796875" style="196"/>
    <col min="8" max="8" width="19.1796875" style="196" customWidth="1"/>
    <col min="9" max="12" width="9.1796875" style="196"/>
    <col min="13" max="13" width="9.1796875" style="196" customWidth="1"/>
    <col min="14" max="14" width="6.7265625" style="196" customWidth="1"/>
    <col min="15" max="16384" width="9.1796875" style="196"/>
  </cols>
  <sheetData>
    <row r="1" spans="1:14">
      <c r="A1" s="202"/>
      <c r="B1" s="202"/>
      <c r="C1" s="202"/>
      <c r="D1" s="202"/>
      <c r="E1" s="202"/>
      <c r="F1" s="202"/>
      <c r="G1" s="202"/>
      <c r="H1" s="202"/>
      <c r="I1" s="202"/>
      <c r="J1" s="202"/>
      <c r="K1" s="202"/>
      <c r="L1" s="202"/>
      <c r="M1" s="202"/>
      <c r="N1" s="202"/>
    </row>
    <row r="2" spans="1:14">
      <c r="A2" s="202"/>
      <c r="B2" s="202"/>
      <c r="C2" s="202"/>
      <c r="D2" s="202"/>
      <c r="E2" s="202"/>
      <c r="F2" s="202"/>
      <c r="G2" s="202"/>
      <c r="H2" s="202"/>
      <c r="I2" s="202"/>
      <c r="J2" s="202"/>
      <c r="K2" s="202"/>
      <c r="L2" s="202"/>
      <c r="M2" s="202"/>
      <c r="N2" s="202"/>
    </row>
    <row r="3" spans="1:14">
      <c r="A3" s="202"/>
      <c r="B3" s="202"/>
      <c r="C3" s="202"/>
      <c r="D3" s="202"/>
      <c r="E3" s="202"/>
      <c r="F3" s="202"/>
      <c r="G3" s="202"/>
      <c r="H3" s="202"/>
      <c r="I3" s="202"/>
      <c r="J3" s="202"/>
      <c r="K3" s="202"/>
      <c r="L3" s="202"/>
      <c r="M3" s="202"/>
      <c r="N3" s="202"/>
    </row>
    <row r="4" spans="1:14">
      <c r="A4" s="202"/>
      <c r="B4" s="202"/>
      <c r="C4" s="202"/>
      <c r="D4" s="202"/>
      <c r="E4" s="202"/>
      <c r="F4" s="202"/>
      <c r="G4" s="202"/>
      <c r="H4" s="202"/>
      <c r="I4" s="202"/>
      <c r="J4" s="202"/>
      <c r="K4" s="202"/>
      <c r="L4" s="202"/>
      <c r="M4" s="202"/>
      <c r="N4" s="202"/>
    </row>
    <row r="5" spans="1:14">
      <c r="A5" s="202"/>
      <c r="B5" s="202"/>
      <c r="C5" s="202"/>
      <c r="D5" s="202"/>
      <c r="E5" s="202"/>
      <c r="F5" s="202"/>
      <c r="G5" s="202"/>
      <c r="H5" s="202"/>
      <c r="I5" s="202"/>
      <c r="J5" s="202"/>
      <c r="K5" s="202"/>
      <c r="L5" s="202"/>
      <c r="M5" s="202"/>
      <c r="N5" s="202"/>
    </row>
    <row r="6" spans="1:14">
      <c r="A6" s="202"/>
      <c r="B6" s="202"/>
      <c r="C6" s="202"/>
      <c r="D6" s="202"/>
      <c r="E6" s="202"/>
      <c r="F6" s="202"/>
      <c r="G6" s="202"/>
      <c r="H6" s="202"/>
      <c r="I6" s="202"/>
      <c r="J6" s="202"/>
      <c r="K6" s="202"/>
      <c r="L6" s="202"/>
      <c r="M6" s="202"/>
      <c r="N6" s="202"/>
    </row>
    <row r="7" spans="1:14">
      <c r="A7" s="202"/>
      <c r="B7" s="202"/>
      <c r="C7" s="202"/>
      <c r="D7" s="202"/>
      <c r="E7" s="202"/>
      <c r="F7" s="202"/>
      <c r="G7" s="202"/>
      <c r="H7" s="202"/>
      <c r="I7" s="202"/>
      <c r="J7" s="202"/>
      <c r="K7" s="202"/>
      <c r="L7" s="202"/>
      <c r="M7" s="202"/>
      <c r="N7" s="202"/>
    </row>
    <row r="8" spans="1:14">
      <c r="A8" s="202"/>
      <c r="B8" s="202"/>
      <c r="C8" s="202"/>
      <c r="D8" s="202"/>
      <c r="E8" s="202"/>
      <c r="F8" s="202"/>
      <c r="G8" s="202"/>
      <c r="H8" s="202"/>
      <c r="I8" s="202"/>
      <c r="J8" s="202"/>
      <c r="K8" s="202"/>
      <c r="L8" s="202"/>
      <c r="M8" s="202"/>
      <c r="N8" s="202"/>
    </row>
    <row r="9" spans="1:14">
      <c r="A9" s="202"/>
      <c r="B9" s="202"/>
      <c r="C9" s="202"/>
      <c r="D9" s="202"/>
      <c r="E9" s="202"/>
      <c r="F9" s="202"/>
      <c r="G9" s="202"/>
      <c r="H9" s="202"/>
      <c r="I9" s="202"/>
      <c r="J9" s="202"/>
      <c r="K9" s="202"/>
      <c r="L9" s="202"/>
      <c r="M9" s="202"/>
      <c r="N9" s="202"/>
    </row>
    <row r="10" spans="1:14">
      <c r="A10" s="202"/>
      <c r="B10" s="202"/>
      <c r="C10" s="202"/>
      <c r="D10" s="202"/>
      <c r="E10" s="202"/>
      <c r="F10" s="202"/>
      <c r="G10" s="202"/>
      <c r="H10" s="202"/>
      <c r="I10" s="202"/>
      <c r="J10" s="202"/>
      <c r="K10" s="202"/>
      <c r="L10" s="202"/>
      <c r="M10" s="202"/>
      <c r="N10" s="202"/>
    </row>
    <row r="11" spans="1:14">
      <c r="A11" s="202"/>
      <c r="B11" s="202"/>
      <c r="C11" s="202"/>
      <c r="D11" s="202"/>
      <c r="E11" s="202"/>
      <c r="F11" s="202"/>
      <c r="G11" s="202"/>
      <c r="H11" s="202"/>
      <c r="I11" s="202"/>
      <c r="J11" s="202"/>
      <c r="K11" s="202"/>
      <c r="L11" s="202"/>
      <c r="M11" s="202"/>
      <c r="N11" s="202"/>
    </row>
    <row r="12" spans="1:14">
      <c r="A12" s="202"/>
      <c r="B12" s="202"/>
      <c r="C12" s="202"/>
      <c r="D12" s="202"/>
      <c r="E12" s="202"/>
      <c r="F12" s="202"/>
      <c r="G12" s="202"/>
      <c r="H12" s="202"/>
      <c r="I12" s="202"/>
      <c r="J12" s="202"/>
      <c r="K12" s="202"/>
      <c r="L12" s="202"/>
      <c r="M12" s="202"/>
      <c r="N12" s="202"/>
    </row>
    <row r="13" spans="1:14">
      <c r="A13" s="202"/>
      <c r="B13" s="202"/>
      <c r="C13" s="202"/>
      <c r="D13" s="202"/>
      <c r="E13" s="202"/>
      <c r="F13" s="202"/>
      <c r="G13" s="202"/>
      <c r="H13" s="202"/>
      <c r="I13" s="202"/>
      <c r="J13" s="202"/>
      <c r="K13" s="202"/>
      <c r="L13" s="202"/>
      <c r="M13" s="202"/>
      <c r="N13" s="202"/>
    </row>
    <row r="14" spans="1:14">
      <c r="A14" s="202"/>
      <c r="B14" s="202"/>
      <c r="C14" s="202"/>
      <c r="D14" s="202"/>
      <c r="E14" s="202"/>
      <c r="F14" s="202"/>
      <c r="G14" s="202"/>
      <c r="H14" s="202"/>
      <c r="I14" s="202"/>
      <c r="J14" s="202"/>
      <c r="K14" s="202"/>
      <c r="L14" s="202"/>
      <c r="M14" s="202"/>
      <c r="N14" s="202"/>
    </row>
    <row r="15" spans="1:14">
      <c r="A15" s="202"/>
      <c r="B15" s="202"/>
      <c r="C15" s="202"/>
      <c r="D15" s="202"/>
      <c r="E15" s="202"/>
      <c r="F15" s="202"/>
      <c r="G15" s="202"/>
      <c r="H15" s="202"/>
      <c r="I15" s="202"/>
      <c r="J15" s="202"/>
      <c r="K15" s="202"/>
      <c r="L15" s="202"/>
      <c r="M15" s="202"/>
      <c r="N15" s="202"/>
    </row>
    <row r="16" spans="1:14">
      <c r="A16" s="202"/>
      <c r="B16" s="202"/>
      <c r="C16" s="202"/>
      <c r="D16" s="202"/>
      <c r="E16" s="202"/>
      <c r="F16" s="202"/>
      <c r="G16" s="202"/>
      <c r="H16" s="202"/>
      <c r="I16" s="202"/>
      <c r="J16" s="202"/>
      <c r="K16" s="202"/>
      <c r="L16" s="202"/>
      <c r="M16" s="202"/>
      <c r="N16" s="202"/>
    </row>
    <row r="17" spans="1:14">
      <c r="A17" s="202"/>
      <c r="B17" s="202"/>
      <c r="C17" s="202"/>
      <c r="D17" s="202"/>
      <c r="E17" s="202"/>
      <c r="F17" s="202"/>
      <c r="G17" s="202"/>
      <c r="H17" s="202"/>
      <c r="I17" s="202"/>
      <c r="J17" s="202"/>
      <c r="K17" s="202"/>
      <c r="L17" s="202"/>
      <c r="M17" s="202"/>
      <c r="N17" s="202"/>
    </row>
    <row r="18" spans="1:14">
      <c r="A18" s="202"/>
      <c r="B18" s="202"/>
      <c r="C18" s="202"/>
      <c r="D18" s="202"/>
      <c r="E18" s="202"/>
      <c r="F18" s="202"/>
      <c r="G18" s="202"/>
      <c r="H18" s="202"/>
      <c r="I18" s="202"/>
      <c r="J18" s="202"/>
      <c r="K18" s="202"/>
      <c r="L18" s="202"/>
      <c r="M18" s="202"/>
      <c r="N18" s="202"/>
    </row>
    <row r="19" spans="1:14">
      <c r="A19" s="202"/>
      <c r="B19" s="202"/>
      <c r="C19" s="202"/>
      <c r="D19" s="202"/>
      <c r="E19" s="202"/>
      <c r="F19" s="202"/>
      <c r="G19" s="202"/>
      <c r="H19" s="202"/>
      <c r="I19" s="202"/>
      <c r="J19" s="202"/>
      <c r="K19" s="202"/>
      <c r="L19" s="202"/>
      <c r="M19" s="202"/>
      <c r="N19" s="202"/>
    </row>
    <row r="20" spans="1:14">
      <c r="A20" s="202"/>
      <c r="B20" s="202"/>
      <c r="C20" s="202"/>
      <c r="D20" s="202"/>
      <c r="E20" s="202"/>
      <c r="F20" s="202"/>
      <c r="G20" s="202"/>
      <c r="H20" s="202"/>
      <c r="I20" s="202"/>
      <c r="J20" s="202"/>
      <c r="K20" s="202"/>
      <c r="L20" s="202"/>
      <c r="M20" s="202"/>
      <c r="N20" s="202"/>
    </row>
    <row r="21" spans="1:14">
      <c r="A21" s="202"/>
      <c r="B21" s="202"/>
      <c r="C21" s="202"/>
      <c r="D21" s="202"/>
      <c r="E21" s="202"/>
      <c r="F21" s="202"/>
      <c r="G21" s="202"/>
      <c r="H21" s="202"/>
      <c r="I21" s="202"/>
      <c r="J21" s="202"/>
      <c r="K21" s="202"/>
      <c r="L21" s="202"/>
      <c r="M21" s="202"/>
      <c r="N21" s="202"/>
    </row>
    <row r="22" spans="1:14">
      <c r="A22" s="202"/>
      <c r="B22" s="202"/>
      <c r="C22" s="202"/>
      <c r="D22" s="202"/>
      <c r="E22" s="202"/>
      <c r="F22" s="202"/>
      <c r="G22" s="202"/>
      <c r="H22" s="202"/>
      <c r="I22" s="202"/>
      <c r="J22" s="202"/>
      <c r="K22" s="202"/>
      <c r="L22" s="202"/>
      <c r="M22" s="202"/>
      <c r="N22" s="202"/>
    </row>
    <row r="23" spans="1:14">
      <c r="A23" s="202"/>
      <c r="B23" s="202"/>
      <c r="C23" s="202"/>
      <c r="D23" s="202"/>
      <c r="E23" s="202"/>
      <c r="F23" s="202"/>
      <c r="G23" s="202"/>
      <c r="H23" s="202"/>
      <c r="I23" s="202"/>
      <c r="J23" s="202"/>
      <c r="K23" s="202"/>
      <c r="L23" s="202"/>
      <c r="M23" s="202"/>
      <c r="N23" s="202"/>
    </row>
    <row r="24" spans="1:14">
      <c r="A24" s="202"/>
      <c r="B24" s="202"/>
      <c r="C24" s="202"/>
      <c r="D24" s="202"/>
      <c r="E24" s="202"/>
      <c r="F24" s="202"/>
      <c r="G24" s="202"/>
      <c r="H24" s="202"/>
      <c r="I24" s="202"/>
      <c r="J24" s="202"/>
      <c r="K24" s="202"/>
      <c r="L24" s="202"/>
      <c r="M24" s="202"/>
      <c r="N24" s="202"/>
    </row>
    <row r="25" spans="1:14">
      <c r="A25" s="202"/>
      <c r="B25" s="202"/>
      <c r="C25" s="202"/>
      <c r="D25" s="202"/>
      <c r="E25" s="202"/>
      <c r="F25" s="202"/>
      <c r="G25" s="202"/>
      <c r="H25" s="202"/>
      <c r="I25" s="202"/>
      <c r="J25" s="202"/>
      <c r="K25" s="202"/>
      <c r="L25" s="202"/>
      <c r="M25" s="202"/>
      <c r="N25" s="202"/>
    </row>
    <row r="26" spans="1:14">
      <c r="A26" s="202"/>
      <c r="B26" s="202"/>
      <c r="C26" s="202"/>
      <c r="D26" s="202"/>
      <c r="E26" s="202"/>
      <c r="F26" s="202"/>
      <c r="G26" s="202"/>
      <c r="H26" s="202"/>
      <c r="I26" s="202"/>
      <c r="J26" s="202"/>
      <c r="K26" s="202"/>
      <c r="L26" s="202"/>
      <c r="M26" s="202"/>
      <c r="N26" s="202"/>
    </row>
    <row r="27" spans="1:14">
      <c r="A27" s="202"/>
      <c r="B27" s="202"/>
      <c r="C27" s="202"/>
      <c r="D27" s="202"/>
      <c r="E27" s="202"/>
      <c r="F27" s="202"/>
      <c r="G27" s="202"/>
      <c r="H27" s="202"/>
      <c r="I27" s="202"/>
      <c r="J27" s="202"/>
      <c r="K27" s="202"/>
      <c r="L27" s="202"/>
      <c r="M27" s="202"/>
      <c r="N27" s="202"/>
    </row>
    <row r="28" spans="1:14">
      <c r="A28" s="202"/>
      <c r="B28" s="202"/>
      <c r="C28" s="202"/>
      <c r="D28" s="202"/>
      <c r="E28" s="202"/>
      <c r="F28" s="202"/>
      <c r="G28" s="202"/>
      <c r="H28" s="202"/>
      <c r="I28" s="202"/>
      <c r="J28" s="202"/>
      <c r="K28" s="202"/>
      <c r="L28" s="202"/>
      <c r="M28" s="202"/>
      <c r="N28" s="202"/>
    </row>
    <row r="29" spans="1:14">
      <c r="A29" s="202"/>
      <c r="B29" s="202"/>
      <c r="C29" s="202"/>
      <c r="D29" s="202"/>
      <c r="E29" s="202"/>
      <c r="F29" s="202"/>
      <c r="G29" s="202"/>
      <c r="H29" s="202"/>
      <c r="I29" s="202"/>
      <c r="J29" s="202"/>
      <c r="K29" s="202"/>
      <c r="L29" s="202"/>
      <c r="M29" s="202"/>
      <c r="N29" s="202"/>
    </row>
    <row r="30" spans="1:14">
      <c r="A30" s="202"/>
      <c r="B30" s="202"/>
      <c r="C30" s="202"/>
      <c r="D30" s="202"/>
      <c r="E30" s="202"/>
      <c r="F30" s="202"/>
      <c r="G30" s="202"/>
      <c r="H30" s="202"/>
      <c r="I30" s="202"/>
      <c r="J30" s="202"/>
      <c r="K30" s="202"/>
      <c r="L30" s="202"/>
      <c r="M30" s="202"/>
      <c r="N30" s="202"/>
    </row>
    <row r="31" spans="1:14">
      <c r="A31" s="202"/>
      <c r="B31" s="202"/>
      <c r="C31" s="202"/>
      <c r="D31" s="202"/>
      <c r="E31" s="202"/>
      <c r="F31" s="202"/>
      <c r="G31" s="202"/>
      <c r="H31" s="202"/>
      <c r="I31" s="202"/>
      <c r="J31" s="202"/>
      <c r="K31" s="202"/>
      <c r="L31" s="202"/>
      <c r="M31" s="202"/>
      <c r="N31" s="202"/>
    </row>
    <row r="32" spans="1:14">
      <c r="A32" s="202"/>
      <c r="B32" s="202"/>
      <c r="C32" s="202"/>
      <c r="D32" s="202"/>
      <c r="E32" s="202"/>
      <c r="F32" s="202"/>
      <c r="G32" s="202"/>
      <c r="H32" s="202"/>
      <c r="I32" s="202"/>
      <c r="J32" s="202"/>
      <c r="K32" s="202"/>
      <c r="L32" s="202"/>
      <c r="M32" s="202"/>
      <c r="N32" s="202"/>
    </row>
    <row r="33" spans="1:14">
      <c r="A33" s="202"/>
      <c r="B33" s="202"/>
      <c r="C33" s="202"/>
      <c r="D33" s="202"/>
      <c r="E33" s="202"/>
      <c r="F33" s="202"/>
      <c r="G33" s="202"/>
      <c r="H33" s="202"/>
      <c r="I33" s="202"/>
      <c r="J33" s="202"/>
      <c r="K33" s="202"/>
      <c r="L33" s="202"/>
      <c r="M33" s="202"/>
      <c r="N33" s="202"/>
    </row>
    <row r="34" spans="1:14">
      <c r="A34" s="202"/>
      <c r="B34" s="202"/>
      <c r="C34" s="202"/>
      <c r="D34" s="202"/>
      <c r="E34" s="202"/>
      <c r="F34" s="202"/>
      <c r="G34" s="202"/>
      <c r="H34" s="202"/>
      <c r="I34" s="202"/>
      <c r="J34" s="202"/>
      <c r="K34" s="202"/>
      <c r="L34" s="202"/>
      <c r="M34" s="202"/>
      <c r="N34" s="202"/>
    </row>
    <row r="35" spans="1:14">
      <c r="A35" s="202"/>
      <c r="B35" s="202"/>
      <c r="C35" s="202"/>
      <c r="D35" s="202"/>
      <c r="E35" s="202"/>
      <c r="F35" s="202"/>
      <c r="G35" s="202"/>
      <c r="H35" s="202"/>
      <c r="I35" s="202"/>
      <c r="J35" s="202"/>
      <c r="K35" s="202"/>
      <c r="L35" s="202"/>
      <c r="M35" s="202"/>
      <c r="N35" s="202"/>
    </row>
    <row r="36" spans="1:14">
      <c r="A36" s="202"/>
      <c r="B36" s="202"/>
      <c r="C36" s="202"/>
      <c r="D36" s="202"/>
      <c r="E36" s="202"/>
      <c r="F36" s="202"/>
      <c r="G36" s="202"/>
      <c r="H36" s="202"/>
      <c r="I36" s="202"/>
      <c r="J36" s="202"/>
      <c r="K36" s="202"/>
      <c r="L36" s="202"/>
      <c r="M36" s="202"/>
      <c r="N36" s="202"/>
    </row>
    <row r="37" spans="1:14">
      <c r="A37" s="202"/>
      <c r="B37" s="202"/>
      <c r="C37" s="202"/>
      <c r="D37" s="202"/>
      <c r="E37" s="202"/>
      <c r="F37" s="202"/>
      <c r="G37" s="202"/>
      <c r="H37" s="202"/>
      <c r="I37" s="202"/>
      <c r="J37" s="202"/>
      <c r="K37" s="202"/>
      <c r="L37" s="202"/>
      <c r="M37" s="202"/>
      <c r="N37" s="202"/>
    </row>
    <row r="38" spans="1:14">
      <c r="A38" s="202"/>
      <c r="B38" s="202"/>
      <c r="C38" s="202"/>
      <c r="D38" s="202"/>
      <c r="E38" s="202"/>
      <c r="F38" s="202"/>
      <c r="G38" s="202"/>
      <c r="H38" s="202"/>
      <c r="I38" s="202"/>
      <c r="J38" s="202"/>
      <c r="K38" s="202"/>
      <c r="L38" s="202"/>
      <c r="M38" s="202"/>
      <c r="N38" s="202"/>
    </row>
    <row r="39" spans="1:14">
      <c r="A39" s="202"/>
      <c r="B39" s="202"/>
      <c r="C39" s="202"/>
      <c r="D39" s="202"/>
      <c r="E39" s="202"/>
      <c r="F39" s="202"/>
      <c r="G39" s="202"/>
      <c r="H39" s="202"/>
      <c r="I39" s="202"/>
      <c r="J39" s="202"/>
      <c r="K39" s="202"/>
      <c r="L39" s="202"/>
      <c r="M39" s="202"/>
      <c r="N39" s="202"/>
    </row>
    <row r="40" spans="1:14">
      <c r="A40" s="202"/>
      <c r="B40" s="202"/>
      <c r="C40" s="202"/>
      <c r="D40" s="202"/>
      <c r="E40" s="202"/>
      <c r="F40" s="202"/>
      <c r="G40" s="202"/>
      <c r="H40" s="202"/>
      <c r="I40" s="202"/>
      <c r="J40" s="202"/>
      <c r="K40" s="202"/>
      <c r="L40" s="202"/>
      <c r="M40" s="202"/>
      <c r="N40" s="202"/>
    </row>
    <row r="41" spans="1:14">
      <c r="A41" s="202"/>
      <c r="B41" s="202"/>
      <c r="C41" s="202"/>
      <c r="D41" s="202"/>
      <c r="E41" s="202"/>
      <c r="F41" s="202"/>
      <c r="G41" s="202"/>
      <c r="H41" s="202"/>
      <c r="I41" s="202"/>
      <c r="J41" s="202"/>
      <c r="K41" s="202"/>
      <c r="L41" s="202"/>
      <c r="M41" s="202"/>
      <c r="N41" s="202"/>
    </row>
    <row r="42" spans="1:14">
      <c r="A42" s="202"/>
      <c r="B42" s="202"/>
      <c r="C42" s="202"/>
      <c r="D42" s="202"/>
      <c r="E42" s="202"/>
      <c r="F42" s="202"/>
      <c r="G42" s="202"/>
      <c r="H42" s="202"/>
      <c r="I42" s="202"/>
      <c r="J42" s="202"/>
      <c r="K42" s="202"/>
      <c r="L42" s="202"/>
      <c r="M42" s="202"/>
      <c r="N42" s="202"/>
    </row>
    <row r="43" spans="1:14">
      <c r="A43" s="202"/>
      <c r="B43" s="202"/>
      <c r="C43" s="202"/>
      <c r="D43" s="202"/>
      <c r="E43" s="202"/>
      <c r="F43" s="202"/>
      <c r="G43" s="202"/>
      <c r="H43" s="202"/>
      <c r="I43" s="202"/>
      <c r="J43" s="202"/>
      <c r="K43" s="202"/>
      <c r="L43" s="202"/>
      <c r="M43" s="202"/>
      <c r="N43" s="202"/>
    </row>
    <row r="44" spans="1:14">
      <c r="A44" s="202"/>
      <c r="B44" s="202"/>
      <c r="C44" s="202"/>
      <c r="D44" s="202"/>
      <c r="E44" s="202"/>
      <c r="F44" s="202"/>
      <c r="G44" s="202"/>
      <c r="H44" s="202"/>
      <c r="I44" s="202"/>
      <c r="J44" s="202"/>
      <c r="K44" s="202"/>
      <c r="L44" s="202"/>
      <c r="M44" s="202"/>
      <c r="N44" s="202"/>
    </row>
    <row r="45" spans="1:14">
      <c r="A45" s="202"/>
      <c r="B45" s="202"/>
      <c r="C45" s="202"/>
      <c r="D45" s="202"/>
      <c r="E45" s="202"/>
      <c r="F45" s="202"/>
      <c r="G45" s="202"/>
      <c r="H45" s="202"/>
      <c r="I45" s="202"/>
      <c r="J45" s="202"/>
      <c r="K45" s="202"/>
      <c r="L45" s="202"/>
      <c r="M45" s="202"/>
      <c r="N45" s="202"/>
    </row>
    <row r="46" spans="1:14">
      <c r="A46" s="202"/>
      <c r="B46" s="202"/>
      <c r="C46" s="202"/>
      <c r="D46" s="202"/>
      <c r="E46" s="202"/>
      <c r="F46" s="202"/>
      <c r="G46" s="202"/>
      <c r="H46" s="202"/>
      <c r="I46" s="202"/>
      <c r="J46" s="202"/>
      <c r="K46" s="202"/>
      <c r="L46" s="202"/>
      <c r="M46" s="202"/>
      <c r="N46" s="202"/>
    </row>
    <row r="47" spans="1:14">
      <c r="A47" s="202"/>
      <c r="B47" s="202"/>
      <c r="C47" s="202"/>
      <c r="D47" s="202"/>
      <c r="E47" s="202"/>
      <c r="F47" s="202"/>
      <c r="G47" s="202"/>
      <c r="H47" s="202"/>
      <c r="I47" s="202"/>
      <c r="J47" s="202"/>
      <c r="K47" s="202"/>
      <c r="L47" s="202"/>
      <c r="M47" s="202"/>
      <c r="N47" s="202"/>
    </row>
    <row r="48" spans="1:14">
      <c r="A48" s="202"/>
      <c r="B48" s="202"/>
      <c r="C48" s="202"/>
      <c r="D48" s="202"/>
      <c r="E48" s="202"/>
      <c r="F48" s="202"/>
      <c r="G48" s="202"/>
      <c r="H48" s="202"/>
      <c r="I48" s="202"/>
      <c r="J48" s="202"/>
      <c r="K48" s="202"/>
      <c r="L48" s="202"/>
      <c r="M48" s="202"/>
      <c r="N48" s="202"/>
    </row>
    <row r="49" spans="1:14">
      <c r="A49" s="202"/>
      <c r="B49" s="202"/>
      <c r="C49" s="202"/>
      <c r="D49" s="202"/>
      <c r="E49" s="202"/>
      <c r="F49" s="202"/>
      <c r="G49" s="202"/>
      <c r="H49" s="202"/>
      <c r="I49" s="202"/>
      <c r="J49" s="202"/>
      <c r="K49" s="202"/>
      <c r="L49" s="202"/>
      <c r="M49" s="202"/>
      <c r="N49" s="202"/>
    </row>
    <row r="50" spans="1:14">
      <c r="A50" s="202"/>
      <c r="B50" s="202"/>
      <c r="C50" s="202"/>
      <c r="D50" s="202"/>
      <c r="E50" s="202"/>
      <c r="F50" s="202"/>
      <c r="G50" s="202"/>
      <c r="H50" s="202"/>
      <c r="I50" s="202"/>
      <c r="J50" s="202"/>
      <c r="K50" s="202"/>
      <c r="L50" s="202"/>
      <c r="M50" s="202"/>
      <c r="N50" s="202"/>
    </row>
    <row r="51" spans="1:14">
      <c r="A51" s="202"/>
      <c r="B51" s="202"/>
      <c r="C51" s="202"/>
      <c r="D51" s="202"/>
      <c r="E51" s="202"/>
      <c r="F51" s="202"/>
      <c r="G51" s="202"/>
      <c r="H51" s="202"/>
      <c r="I51" s="202"/>
      <c r="J51" s="202"/>
      <c r="K51" s="202"/>
      <c r="L51" s="202"/>
      <c r="M51" s="202"/>
      <c r="N51" s="202"/>
    </row>
    <row r="52" spans="1:14">
      <c r="A52" s="202"/>
      <c r="B52" s="202"/>
      <c r="C52" s="202"/>
      <c r="D52" s="202"/>
      <c r="E52" s="202"/>
      <c r="F52" s="202"/>
      <c r="G52" s="202"/>
      <c r="H52" s="202"/>
      <c r="I52" s="202"/>
      <c r="J52" s="202"/>
      <c r="K52" s="202"/>
      <c r="L52" s="202"/>
      <c r="M52" s="202"/>
      <c r="N52" s="202"/>
    </row>
    <row r="53" spans="1:14" ht="89.25" customHeight="1">
      <c r="A53" s="202"/>
      <c r="B53" s="202"/>
      <c r="C53" s="202"/>
      <c r="D53" s="202"/>
      <c r="E53" s="202"/>
      <c r="F53" s="202"/>
      <c r="G53" s="202"/>
      <c r="H53" s="202"/>
      <c r="I53" s="202"/>
      <c r="J53" s="202"/>
      <c r="K53" s="202"/>
      <c r="L53" s="202"/>
      <c r="M53" s="202"/>
      <c r="N53" s="202"/>
    </row>
    <row r="54" spans="1:14">
      <c r="A54" s="202"/>
      <c r="B54" s="202"/>
      <c r="C54" s="202"/>
      <c r="D54" s="202"/>
      <c r="E54" s="202"/>
      <c r="F54" s="202"/>
      <c r="G54" s="202"/>
      <c r="H54" s="202"/>
      <c r="I54" s="202"/>
      <c r="J54" s="202"/>
      <c r="K54" s="202"/>
      <c r="L54" s="202"/>
      <c r="M54" s="202"/>
      <c r="N54" s="202"/>
    </row>
    <row r="55" spans="1:14">
      <c r="A55" s="202"/>
      <c r="B55" s="202"/>
      <c r="C55" s="202"/>
      <c r="D55" s="202"/>
      <c r="E55" s="202"/>
      <c r="F55" s="202"/>
      <c r="G55" s="202"/>
      <c r="H55" s="202"/>
      <c r="I55" s="202"/>
      <c r="J55" s="202"/>
      <c r="K55" s="202"/>
      <c r="L55" s="202"/>
      <c r="M55" s="202"/>
      <c r="N55" s="202"/>
    </row>
    <row r="56" spans="1:14">
      <c r="A56" s="202"/>
      <c r="B56" s="202"/>
      <c r="C56" s="202"/>
      <c r="D56" s="202"/>
      <c r="E56" s="202"/>
      <c r="F56" s="202"/>
      <c r="G56" s="202"/>
      <c r="H56" s="202"/>
      <c r="I56" s="202"/>
      <c r="J56" s="202"/>
      <c r="K56" s="202"/>
      <c r="L56" s="202"/>
      <c r="M56" s="202"/>
      <c r="N56" s="202"/>
    </row>
    <row r="57" spans="1:14">
      <c r="A57" s="202"/>
      <c r="B57" s="202"/>
      <c r="C57" s="202"/>
      <c r="D57" s="202"/>
      <c r="E57" s="202"/>
      <c r="F57" s="202"/>
      <c r="G57" s="202"/>
      <c r="H57" s="202"/>
      <c r="I57" s="202"/>
      <c r="J57" s="202"/>
      <c r="K57" s="202"/>
      <c r="L57" s="202"/>
      <c r="M57" s="202"/>
      <c r="N57" s="202"/>
    </row>
    <row r="58" spans="1:14">
      <c r="A58" s="202"/>
      <c r="B58" s="202"/>
      <c r="C58" s="202"/>
      <c r="D58" s="202"/>
      <c r="E58" s="202"/>
      <c r="F58" s="202"/>
      <c r="G58" s="202"/>
      <c r="H58" s="202"/>
      <c r="I58" s="202"/>
      <c r="J58" s="202"/>
      <c r="K58" s="202"/>
      <c r="L58" s="202"/>
      <c r="M58" s="202"/>
      <c r="N58" s="202"/>
    </row>
    <row r="59" spans="1:14">
      <c r="A59" s="202"/>
      <c r="B59" s="202"/>
      <c r="C59" s="202"/>
      <c r="D59" s="202"/>
      <c r="E59" s="202"/>
      <c r="F59" s="202"/>
      <c r="G59" s="202"/>
      <c r="H59" s="202"/>
      <c r="I59" s="202"/>
      <c r="J59" s="202"/>
      <c r="K59" s="202"/>
      <c r="L59" s="202"/>
      <c r="M59" s="202"/>
      <c r="N59" s="202"/>
    </row>
    <row r="60" spans="1:14">
      <c r="A60" s="202"/>
      <c r="B60" s="202"/>
      <c r="C60" s="202"/>
      <c r="D60" s="202"/>
      <c r="E60" s="202"/>
      <c r="F60" s="202"/>
      <c r="G60" s="202"/>
      <c r="H60" s="202"/>
      <c r="I60" s="202"/>
      <c r="J60" s="202"/>
      <c r="K60" s="202"/>
      <c r="L60" s="202"/>
      <c r="M60" s="202"/>
      <c r="N60" s="202"/>
    </row>
    <row r="61" spans="1:14">
      <c r="A61" s="202"/>
      <c r="B61" s="202"/>
      <c r="C61" s="202"/>
      <c r="D61" s="202"/>
      <c r="E61" s="202"/>
      <c r="F61" s="202"/>
      <c r="G61" s="202"/>
      <c r="H61" s="202"/>
      <c r="I61" s="202"/>
      <c r="J61" s="202"/>
      <c r="K61" s="202"/>
      <c r="L61" s="202"/>
      <c r="M61" s="202"/>
      <c r="N61" s="202"/>
    </row>
    <row r="62" spans="1:14">
      <c r="A62" s="202"/>
      <c r="B62" s="202"/>
      <c r="C62" s="202"/>
      <c r="D62" s="202"/>
      <c r="E62" s="202"/>
      <c r="F62" s="202"/>
      <c r="G62" s="202"/>
      <c r="H62" s="202"/>
      <c r="I62" s="202"/>
      <c r="J62" s="202"/>
      <c r="K62" s="202"/>
      <c r="L62" s="202"/>
      <c r="M62" s="202"/>
      <c r="N62" s="202"/>
    </row>
    <row r="63" spans="1:14">
      <c r="A63" s="202"/>
      <c r="B63" s="202"/>
      <c r="C63" s="202"/>
      <c r="D63" s="202"/>
      <c r="E63" s="202"/>
      <c r="F63" s="202"/>
      <c r="G63" s="202"/>
      <c r="H63" s="202"/>
      <c r="I63" s="202"/>
      <c r="J63" s="202"/>
      <c r="K63" s="202"/>
      <c r="L63" s="202"/>
      <c r="M63" s="202"/>
      <c r="N63" s="202"/>
    </row>
    <row r="64" spans="1:14">
      <c r="A64" s="202"/>
      <c r="B64" s="202"/>
      <c r="C64" s="202"/>
      <c r="D64" s="202"/>
      <c r="E64" s="202"/>
      <c r="F64" s="202"/>
      <c r="G64" s="202"/>
      <c r="H64" s="202"/>
      <c r="I64" s="202"/>
      <c r="J64" s="202"/>
      <c r="K64" s="202"/>
      <c r="L64" s="202"/>
      <c r="M64" s="202"/>
      <c r="N64" s="202"/>
    </row>
    <row r="65" spans="1:14">
      <c r="A65" s="202"/>
      <c r="B65" s="202"/>
      <c r="C65" s="202"/>
      <c r="D65" s="202"/>
      <c r="E65" s="202"/>
      <c r="F65" s="202"/>
      <c r="G65" s="202"/>
      <c r="H65" s="202"/>
      <c r="I65" s="202"/>
      <c r="J65" s="202"/>
      <c r="K65" s="202"/>
      <c r="L65" s="202"/>
      <c r="M65" s="202"/>
      <c r="N65" s="202"/>
    </row>
    <row r="66" spans="1:14">
      <c r="A66" s="202"/>
      <c r="B66" s="202"/>
      <c r="C66" s="202"/>
      <c r="D66" s="202"/>
      <c r="E66" s="202"/>
      <c r="F66" s="202"/>
      <c r="G66" s="202"/>
      <c r="H66" s="202"/>
      <c r="I66" s="202"/>
      <c r="J66" s="202"/>
      <c r="K66" s="202"/>
      <c r="L66" s="202"/>
      <c r="M66" s="202"/>
      <c r="N66" s="202"/>
    </row>
    <row r="67" spans="1:14">
      <c r="A67" s="202"/>
      <c r="B67" s="202"/>
      <c r="C67" s="202"/>
      <c r="D67" s="202"/>
      <c r="E67" s="202"/>
      <c r="F67" s="202"/>
      <c r="G67" s="202"/>
      <c r="H67" s="202"/>
      <c r="I67" s="202"/>
      <c r="J67" s="202"/>
      <c r="K67" s="202"/>
      <c r="L67" s="202"/>
      <c r="M67" s="202"/>
      <c r="N67" s="202"/>
    </row>
    <row r="68" spans="1:14">
      <c r="A68" s="202"/>
      <c r="B68" s="202"/>
      <c r="C68" s="202"/>
      <c r="D68" s="202"/>
      <c r="E68" s="202"/>
      <c r="F68" s="202"/>
      <c r="G68" s="202"/>
      <c r="H68" s="202"/>
      <c r="I68" s="202"/>
      <c r="J68" s="202"/>
      <c r="K68" s="202"/>
      <c r="L68" s="202"/>
      <c r="M68" s="202"/>
      <c r="N68" s="202"/>
    </row>
    <row r="69" spans="1:14" ht="9" customHeight="1">
      <c r="A69" s="202"/>
      <c r="B69" s="202"/>
      <c r="C69" s="202"/>
      <c r="D69" s="202"/>
      <c r="E69" s="202"/>
      <c r="F69" s="202"/>
      <c r="G69" s="202"/>
      <c r="H69" s="202"/>
      <c r="I69" s="202"/>
      <c r="J69" s="202"/>
      <c r="K69" s="202"/>
      <c r="L69" s="202"/>
      <c r="M69" s="202"/>
      <c r="N69" s="202"/>
    </row>
    <row r="70" spans="1:14">
      <c r="A70" s="202"/>
      <c r="B70" s="202"/>
      <c r="C70" s="202"/>
      <c r="D70" s="202"/>
      <c r="E70" s="202"/>
      <c r="F70" s="202"/>
      <c r="G70" s="202"/>
      <c r="H70" s="202"/>
      <c r="I70" s="202"/>
      <c r="J70" s="202"/>
      <c r="K70" s="202"/>
      <c r="L70" s="202"/>
      <c r="M70" s="202"/>
      <c r="N70" s="202"/>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J40"/>
  <sheetViews>
    <sheetView zoomScaleNormal="100" workbookViewId="0">
      <selection activeCell="H6" sqref="H6"/>
    </sheetView>
  </sheetViews>
  <sheetFormatPr defaultColWidth="9.1796875" defaultRowHeight="14"/>
  <cols>
    <col min="1" max="1" width="45.453125" style="217" customWidth="1"/>
    <col min="2" max="10" width="9.7265625" style="217" customWidth="1"/>
    <col min="11" max="16384" width="9.1796875" style="217"/>
  </cols>
  <sheetData>
    <row r="1" spans="1:10" ht="27.75" customHeight="1">
      <c r="A1" s="206" t="s">
        <v>338</v>
      </c>
      <c r="B1" s="207"/>
      <c r="C1" s="207"/>
      <c r="D1" s="207"/>
      <c r="E1" s="207"/>
      <c r="F1" s="207"/>
      <c r="G1" s="207"/>
      <c r="H1" s="207"/>
      <c r="I1" s="207"/>
      <c r="J1" s="207"/>
    </row>
    <row r="2" spans="1:10">
      <c r="A2" s="208" t="s">
        <v>319</v>
      </c>
      <c r="B2" s="209" t="s">
        <v>280</v>
      </c>
      <c r="C2" s="209" t="s">
        <v>279</v>
      </c>
      <c r="D2" s="209" t="s">
        <v>278</v>
      </c>
      <c r="E2" s="209" t="s">
        <v>277</v>
      </c>
      <c r="F2" s="209" t="s">
        <v>276</v>
      </c>
      <c r="G2" s="209" t="s">
        <v>275</v>
      </c>
      <c r="H2" s="209" t="s">
        <v>274</v>
      </c>
      <c r="I2" s="209" t="s">
        <v>273</v>
      </c>
      <c r="J2" s="209" t="s">
        <v>272</v>
      </c>
    </row>
    <row r="3" spans="1:10">
      <c r="A3" s="210"/>
      <c r="B3" s="211"/>
      <c r="C3" s="211"/>
      <c r="D3" s="211"/>
      <c r="E3" s="211"/>
      <c r="F3" s="211"/>
      <c r="G3" s="211"/>
      <c r="H3" s="211"/>
      <c r="I3" s="211"/>
      <c r="J3" s="211"/>
    </row>
    <row r="4" spans="1:10">
      <c r="A4" s="212" t="s">
        <v>101</v>
      </c>
      <c r="B4" s="213"/>
      <c r="C4" s="213"/>
      <c r="D4" s="213"/>
      <c r="E4" s="213"/>
      <c r="F4" s="213"/>
      <c r="G4" s="213"/>
      <c r="H4" s="213"/>
      <c r="I4" s="213"/>
      <c r="J4" s="213"/>
    </row>
    <row r="5" spans="1:10">
      <c r="A5" s="214" t="s">
        <v>335</v>
      </c>
      <c r="B5" s="235">
        <v>83139</v>
      </c>
      <c r="C5" s="235">
        <v>99525</v>
      </c>
      <c r="D5" s="235">
        <v>112996</v>
      </c>
      <c r="E5" s="235">
        <v>97934.134622829995</v>
      </c>
      <c r="F5" s="235">
        <v>139819</v>
      </c>
      <c r="G5" s="235">
        <v>132316.36304301</v>
      </c>
      <c r="H5" s="235">
        <v>151354.31108354998</v>
      </c>
      <c r="I5" s="235">
        <v>178593.11784808998</v>
      </c>
      <c r="J5" s="235">
        <v>87633.557692300004</v>
      </c>
    </row>
    <row r="6" spans="1:10">
      <c r="A6" s="214" t="s">
        <v>23</v>
      </c>
      <c r="B6" s="235">
        <v>56322</v>
      </c>
      <c r="C6" s="235">
        <v>123446</v>
      </c>
      <c r="D6" s="235">
        <v>113546</v>
      </c>
      <c r="E6" s="235">
        <v>94961.394257799999</v>
      </c>
      <c r="F6" s="235">
        <v>86609</v>
      </c>
      <c r="G6" s="235">
        <v>94242.115189110002</v>
      </c>
      <c r="H6" s="235">
        <v>78250.459872110005</v>
      </c>
      <c r="I6" s="235">
        <v>68149.100513309997</v>
      </c>
      <c r="J6" s="235">
        <v>80116.486505710011</v>
      </c>
    </row>
    <row r="7" spans="1:10">
      <c r="A7" s="214" t="s">
        <v>24</v>
      </c>
      <c r="B7" s="235">
        <v>833826</v>
      </c>
      <c r="C7" s="235">
        <v>819965</v>
      </c>
      <c r="D7" s="235">
        <v>803694</v>
      </c>
      <c r="E7" s="235">
        <v>782255.05850118992</v>
      </c>
      <c r="F7" s="235">
        <v>765101</v>
      </c>
      <c r="G7" s="235">
        <v>750946.72469527007</v>
      </c>
      <c r="H7" s="235">
        <v>733648.68566262</v>
      </c>
      <c r="I7" s="235">
        <v>720197.87473484001</v>
      </c>
      <c r="J7" s="235">
        <v>712422.37091919989</v>
      </c>
    </row>
    <row r="8" spans="1:10">
      <c r="A8" s="214" t="s">
        <v>285</v>
      </c>
      <c r="B8" s="235">
        <v>114557</v>
      </c>
      <c r="C8" s="235">
        <v>109374</v>
      </c>
      <c r="D8" s="235">
        <v>95265</v>
      </c>
      <c r="E8" s="235">
        <v>106414.58064322999</v>
      </c>
      <c r="F8" s="235">
        <v>109450</v>
      </c>
      <c r="G8" s="235">
        <v>121040.51680312</v>
      </c>
      <c r="H8" s="235">
        <v>109352.77509323</v>
      </c>
      <c r="I8" s="235">
        <v>110673.34210366002</v>
      </c>
      <c r="J8" s="235">
        <v>117456.3350694</v>
      </c>
    </row>
    <row r="9" spans="1:10">
      <c r="A9" s="214" t="s">
        <v>109</v>
      </c>
      <c r="B9" s="235">
        <v>7092</v>
      </c>
      <c r="C9" s="235">
        <v>7044</v>
      </c>
      <c r="D9" s="235">
        <v>7027</v>
      </c>
      <c r="E9" s="235">
        <v>6749.1661290000002</v>
      </c>
      <c r="F9" s="235">
        <v>6613</v>
      </c>
      <c r="G9" s="235">
        <v>6903.2430539999996</v>
      </c>
      <c r="H9" s="235">
        <v>7166.2115549999999</v>
      </c>
      <c r="I9" s="235">
        <v>5910.98146</v>
      </c>
      <c r="J9" s="235">
        <v>5357.65</v>
      </c>
    </row>
    <row r="10" spans="1:10">
      <c r="A10" s="214" t="s">
        <v>19</v>
      </c>
      <c r="B10" s="235">
        <v>818</v>
      </c>
      <c r="C10" s="235">
        <v>862</v>
      </c>
      <c r="D10" s="235">
        <v>743</v>
      </c>
      <c r="E10" s="235">
        <v>742.59568766999996</v>
      </c>
      <c r="F10" s="235">
        <v>760</v>
      </c>
      <c r="G10" s="235">
        <v>842.08031051</v>
      </c>
      <c r="H10" s="235">
        <v>825.33683751000001</v>
      </c>
      <c r="I10" s="235">
        <v>817.98628151000003</v>
      </c>
      <c r="J10" s="235">
        <v>838.76943858000004</v>
      </c>
    </row>
    <row r="11" spans="1:10">
      <c r="A11" s="214" t="s">
        <v>17</v>
      </c>
      <c r="B11" s="235">
        <v>6397</v>
      </c>
      <c r="C11" s="235">
        <v>14039</v>
      </c>
      <c r="D11" s="235">
        <v>13858</v>
      </c>
      <c r="E11" s="235">
        <v>13497.721181180001</v>
      </c>
      <c r="F11" s="235">
        <v>13848</v>
      </c>
      <c r="G11" s="235">
        <v>12755.203399399999</v>
      </c>
      <c r="H11" s="235">
        <v>11638.75162449</v>
      </c>
      <c r="I11" s="235">
        <v>11121.056547239999</v>
      </c>
      <c r="J11" s="235">
        <v>11057.329755409999</v>
      </c>
    </row>
    <row r="12" spans="1:10">
      <c r="A12" s="214" t="s">
        <v>108</v>
      </c>
      <c r="B12" s="235">
        <v>90</v>
      </c>
      <c r="C12" s="235">
        <v>623</v>
      </c>
      <c r="D12" s="235">
        <v>603</v>
      </c>
      <c r="E12" s="235">
        <v>610.88222122000002</v>
      </c>
      <c r="F12" s="235">
        <v>450</v>
      </c>
      <c r="G12" s="235">
        <v>285.53742745</v>
      </c>
      <c r="H12" s="235">
        <v>413.09197575999997</v>
      </c>
      <c r="I12" s="235">
        <v>461.97459555</v>
      </c>
      <c r="J12" s="235">
        <v>288.16025567000003</v>
      </c>
    </row>
    <row r="13" spans="1:10">
      <c r="A13" s="214" t="s">
        <v>404</v>
      </c>
      <c r="B13" s="235">
        <v>48584</v>
      </c>
      <c r="C13" s="235">
        <v>8351</v>
      </c>
      <c r="D13" s="235">
        <v>8295</v>
      </c>
      <c r="E13" s="235">
        <v>8496</v>
      </c>
      <c r="F13" s="235">
        <v>8138</v>
      </c>
      <c r="G13" s="235">
        <v>7352.322897</v>
      </c>
      <c r="H13" s="235">
        <v>3442.8340039999998</v>
      </c>
      <c r="I13" s="235">
        <v>4057.8860629999999</v>
      </c>
      <c r="J13" s="235">
        <v>4418.1148069999999</v>
      </c>
    </row>
    <row r="14" spans="1:10" s="223" customFormat="1">
      <c r="A14" s="214" t="s">
        <v>18</v>
      </c>
      <c r="B14" s="238">
        <v>13502</v>
      </c>
      <c r="C14" s="238">
        <v>36300</v>
      </c>
      <c r="D14" s="238">
        <v>18817</v>
      </c>
      <c r="E14" s="238">
        <v>20106.697119640001</v>
      </c>
      <c r="F14" s="238">
        <v>16966</v>
      </c>
      <c r="G14" s="238">
        <v>18168.604034429998</v>
      </c>
      <c r="H14" s="238">
        <v>30318.87654913</v>
      </c>
      <c r="I14" s="238">
        <v>19664.290717290001</v>
      </c>
      <c r="J14" s="238">
        <v>16435.5949463</v>
      </c>
    </row>
    <row r="15" spans="1:10">
      <c r="A15" s="212" t="s">
        <v>15</v>
      </c>
      <c r="B15" s="239">
        <v>1164327</v>
      </c>
      <c r="C15" s="239">
        <v>1219529</v>
      </c>
      <c r="D15" s="239">
        <v>1174844</v>
      </c>
      <c r="E15" s="239">
        <v>1131769</v>
      </c>
      <c r="F15" s="239">
        <v>1147754</v>
      </c>
      <c r="G15" s="239">
        <v>1144852.7108533001</v>
      </c>
      <c r="H15" s="239">
        <v>1126411.3342573999</v>
      </c>
      <c r="I15" s="239">
        <v>1119647.6108644898</v>
      </c>
      <c r="J15" s="239">
        <v>1036024.36938957</v>
      </c>
    </row>
    <row r="16" spans="1:10" ht="1.5" customHeight="1">
      <c r="B16" s="239"/>
      <c r="C16" s="239"/>
      <c r="D16" s="239"/>
      <c r="E16" s="239"/>
      <c r="F16" s="239"/>
      <c r="G16" s="239"/>
      <c r="H16" s="239"/>
      <c r="I16" s="239"/>
      <c r="J16" s="239"/>
    </row>
    <row r="17" spans="1:10">
      <c r="A17" s="226"/>
      <c r="B17" s="235"/>
      <c r="C17" s="235"/>
      <c r="D17" s="235"/>
      <c r="E17" s="235"/>
      <c r="F17" s="235"/>
      <c r="G17" s="235"/>
      <c r="H17" s="235"/>
      <c r="I17" s="235"/>
      <c r="J17" s="235"/>
    </row>
    <row r="18" spans="1:10">
      <c r="A18" s="212" t="s">
        <v>376</v>
      </c>
      <c r="B18" s="235"/>
      <c r="C18" s="235"/>
      <c r="D18" s="235"/>
      <c r="E18" s="235"/>
      <c r="F18" s="235"/>
      <c r="G18" s="235"/>
      <c r="H18" s="235"/>
      <c r="I18" s="235"/>
      <c r="J18" s="235"/>
    </row>
    <row r="19" spans="1:10">
      <c r="A19" s="214" t="s">
        <v>336</v>
      </c>
      <c r="B19" s="235">
        <v>9204</v>
      </c>
      <c r="C19" s="235">
        <v>15370</v>
      </c>
      <c r="D19" s="235">
        <v>6336</v>
      </c>
      <c r="E19" s="235">
        <v>7880</v>
      </c>
      <c r="F19" s="235">
        <v>7370</v>
      </c>
      <c r="G19" s="235">
        <v>7097.0478180600003</v>
      </c>
      <c r="H19" s="235">
        <v>7644.4744283199998</v>
      </c>
      <c r="I19" s="235">
        <v>9689.4127864999991</v>
      </c>
      <c r="J19" s="235">
        <v>7986.50732161</v>
      </c>
    </row>
    <row r="20" spans="1:10">
      <c r="A20" s="214" t="s">
        <v>14</v>
      </c>
      <c r="B20" s="235">
        <v>466067</v>
      </c>
      <c r="C20" s="235">
        <v>484569</v>
      </c>
      <c r="D20" s="235">
        <v>476182</v>
      </c>
      <c r="E20" s="235">
        <v>453058.75998078997</v>
      </c>
      <c r="F20" s="235">
        <v>462161</v>
      </c>
      <c r="G20" s="235">
        <v>445980.69834690995</v>
      </c>
      <c r="H20" s="235">
        <v>437494.48015378002</v>
      </c>
      <c r="I20" s="235">
        <v>475640.96600496996</v>
      </c>
      <c r="J20" s="235">
        <v>412063.58358093002</v>
      </c>
    </row>
    <row r="21" spans="1:10">
      <c r="A21" s="214" t="s">
        <v>316</v>
      </c>
      <c r="B21" s="235">
        <v>2320</v>
      </c>
      <c r="C21" s="235">
        <v>3381</v>
      </c>
      <c r="D21" s="235">
        <v>3895</v>
      </c>
      <c r="E21" s="235">
        <v>3129.7228237300001</v>
      </c>
      <c r="F21" s="235">
        <v>3601</v>
      </c>
      <c r="G21" s="235">
        <v>3550.5786475700002</v>
      </c>
      <c r="H21" s="235">
        <v>5029.07229138</v>
      </c>
      <c r="I21" s="235">
        <v>3921.9605742899998</v>
      </c>
      <c r="J21" s="235">
        <v>3726</v>
      </c>
    </row>
    <row r="22" spans="1:10">
      <c r="A22" s="214" t="s">
        <v>110</v>
      </c>
      <c r="B22" s="235">
        <v>5119</v>
      </c>
      <c r="C22" s="235">
        <v>6376</v>
      </c>
      <c r="D22" s="235">
        <v>6503</v>
      </c>
      <c r="E22" s="235">
        <v>6884.7731750299999</v>
      </c>
      <c r="F22" s="235">
        <v>6828</v>
      </c>
      <c r="G22" s="235">
        <v>9302.7848867900011</v>
      </c>
      <c r="H22" s="235">
        <v>9342.4944754099997</v>
      </c>
      <c r="I22" s="235">
        <v>8304.8112664500004</v>
      </c>
      <c r="J22" s="235">
        <v>7292.9064312</v>
      </c>
    </row>
    <row r="23" spans="1:10">
      <c r="A23" s="214" t="s">
        <v>429</v>
      </c>
      <c r="B23" s="235">
        <v>26337</v>
      </c>
      <c r="C23" s="235"/>
      <c r="D23" s="235"/>
      <c r="E23" s="235"/>
      <c r="F23" s="235"/>
      <c r="G23" s="235"/>
      <c r="H23" s="235"/>
      <c r="I23" s="235"/>
      <c r="J23" s="235"/>
    </row>
    <row r="24" spans="1:10">
      <c r="A24" s="214" t="s">
        <v>20</v>
      </c>
      <c r="B24" s="235">
        <v>30107</v>
      </c>
      <c r="C24" s="235">
        <v>84176</v>
      </c>
      <c r="D24" s="235">
        <v>63524</v>
      </c>
      <c r="E24" s="235">
        <v>55714.567937019994</v>
      </c>
      <c r="F24" s="235">
        <v>57062</v>
      </c>
      <c r="G24" s="235">
        <v>56812.9849435</v>
      </c>
      <c r="H24" s="235">
        <v>65073.223289410002</v>
      </c>
      <c r="I24" s="235">
        <v>51678.176497400003</v>
      </c>
      <c r="J24" s="235">
        <v>54094</v>
      </c>
    </row>
    <row r="25" spans="1:10">
      <c r="A25" s="214" t="s">
        <v>11</v>
      </c>
      <c r="B25" s="235">
        <v>417782</v>
      </c>
      <c r="C25" s="235">
        <v>425601</v>
      </c>
      <c r="D25" s="235">
        <v>410773</v>
      </c>
      <c r="E25" s="235">
        <v>400854.53557583003</v>
      </c>
      <c r="F25" s="235">
        <v>384998</v>
      </c>
      <c r="G25" s="235">
        <v>400399.80363538</v>
      </c>
      <c r="H25" s="235">
        <v>380061.22047513002</v>
      </c>
      <c r="I25" s="235">
        <v>355633.13504577003</v>
      </c>
      <c r="J25" s="235">
        <v>339475.69649249001</v>
      </c>
    </row>
    <row r="26" spans="1:10">
      <c r="A26" s="214" t="s">
        <v>364</v>
      </c>
      <c r="B26" s="238">
        <v>6532</v>
      </c>
      <c r="C26" s="238">
        <v>0</v>
      </c>
      <c r="D26" s="238">
        <v>0</v>
      </c>
      <c r="E26" s="238">
        <v>0</v>
      </c>
      <c r="F26" s="238">
        <v>0</v>
      </c>
      <c r="G26" s="238">
        <v>0</v>
      </c>
      <c r="H26" s="238">
        <v>0</v>
      </c>
      <c r="I26" s="238">
        <v>0</v>
      </c>
      <c r="J26" s="238">
        <v>0</v>
      </c>
    </row>
    <row r="27" spans="1:10">
      <c r="A27" s="212" t="s">
        <v>377</v>
      </c>
      <c r="B27" s="239">
        <v>963468</v>
      </c>
      <c r="C27" s="239">
        <v>1019473</v>
      </c>
      <c r="D27" s="239">
        <v>967213</v>
      </c>
      <c r="E27" s="239">
        <v>927524</v>
      </c>
      <c r="F27" s="239">
        <v>922020</v>
      </c>
      <c r="G27" s="239">
        <v>923143.89827820985</v>
      </c>
      <c r="H27" s="239">
        <v>904644.96511343005</v>
      </c>
      <c r="I27" s="239">
        <v>904868.46217537997</v>
      </c>
      <c r="J27" s="239">
        <v>824640</v>
      </c>
    </row>
    <row r="28" spans="1:10">
      <c r="A28" s="225"/>
      <c r="B28" s="235"/>
      <c r="C28" s="235"/>
      <c r="D28" s="235"/>
      <c r="E28" s="235"/>
      <c r="F28" s="235"/>
      <c r="G28" s="235"/>
      <c r="H28" s="235"/>
      <c r="I28" s="235"/>
      <c r="J28" s="235"/>
    </row>
    <row r="29" spans="1:10">
      <c r="A29" s="212" t="s">
        <v>21</v>
      </c>
      <c r="B29" s="235"/>
      <c r="C29" s="235"/>
      <c r="D29" s="235"/>
      <c r="E29" s="235"/>
      <c r="F29" s="235"/>
      <c r="G29" s="235"/>
      <c r="H29" s="235"/>
      <c r="I29" s="235"/>
      <c r="J29" s="235"/>
    </row>
    <row r="30" spans="1:10">
      <c r="A30" s="214" t="s">
        <v>360</v>
      </c>
      <c r="B30" s="235">
        <v>59010</v>
      </c>
      <c r="C30" s="235">
        <v>59014</v>
      </c>
      <c r="D30" s="235">
        <v>59017</v>
      </c>
      <c r="E30" s="235">
        <v>58722.224698999999</v>
      </c>
      <c r="F30" s="235">
        <v>75861</v>
      </c>
      <c r="G30" s="235">
        <v>75860.794699000005</v>
      </c>
      <c r="H30" s="235">
        <v>75860.794699000005</v>
      </c>
      <c r="I30" s="235">
        <v>75860.794699000005</v>
      </c>
      <c r="J30" s="235">
        <v>75860.794699000005</v>
      </c>
    </row>
    <row r="31" spans="1:10">
      <c r="A31" s="214" t="s">
        <v>361</v>
      </c>
      <c r="B31" s="235">
        <v>14822</v>
      </c>
      <c r="C31" s="235">
        <v>15648</v>
      </c>
      <c r="D31" s="235">
        <v>14436</v>
      </c>
      <c r="E31" s="235">
        <v>14880</v>
      </c>
      <c r="F31" s="235">
        <v>16774</v>
      </c>
      <c r="G31" s="235">
        <v>15001</v>
      </c>
      <c r="H31" s="235">
        <v>13565</v>
      </c>
      <c r="I31" s="235">
        <v>20197</v>
      </c>
      <c r="J31" s="235">
        <v>19761</v>
      </c>
    </row>
    <row r="32" spans="1:10">
      <c r="A32" s="214" t="s">
        <v>362</v>
      </c>
      <c r="B32" s="238">
        <v>126897</v>
      </c>
      <c r="C32" s="238">
        <v>124655</v>
      </c>
      <c r="D32" s="238">
        <v>133437</v>
      </c>
      <c r="E32" s="238">
        <v>130515</v>
      </c>
      <c r="F32" s="238">
        <v>132971</v>
      </c>
      <c r="G32" s="238">
        <v>130673</v>
      </c>
      <c r="H32" s="238">
        <v>132167</v>
      </c>
      <c r="I32" s="238">
        <v>118549</v>
      </c>
      <c r="J32" s="238">
        <v>115590</v>
      </c>
    </row>
    <row r="33" spans="1:10">
      <c r="A33" s="212" t="s">
        <v>378</v>
      </c>
      <c r="B33" s="235">
        <v>200729</v>
      </c>
      <c r="C33" s="235">
        <v>199317</v>
      </c>
      <c r="D33" s="235">
        <v>206890</v>
      </c>
      <c r="E33" s="235">
        <v>204117.22469900001</v>
      </c>
      <c r="F33" s="235">
        <v>225606</v>
      </c>
      <c r="G33" s="235">
        <v>221534.79469900002</v>
      </c>
      <c r="H33" s="235">
        <v>221592.79469900002</v>
      </c>
      <c r="I33" s="235">
        <v>214606.79469900002</v>
      </c>
      <c r="J33" s="235">
        <v>211211.79469900002</v>
      </c>
    </row>
    <row r="34" spans="1:10">
      <c r="A34" s="214" t="s">
        <v>328</v>
      </c>
      <c r="B34" s="238">
        <v>130</v>
      </c>
      <c r="C34" s="238">
        <v>739</v>
      </c>
      <c r="D34" s="238">
        <v>741</v>
      </c>
      <c r="E34" s="238">
        <v>127.83899848999999</v>
      </c>
      <c r="F34" s="238">
        <v>128</v>
      </c>
      <c r="G34" s="238">
        <v>174.21487483999999</v>
      </c>
      <c r="H34" s="238">
        <v>173.52467514</v>
      </c>
      <c r="I34" s="238">
        <v>172.55442531999998</v>
      </c>
      <c r="J34" s="238">
        <v>171.85406631999999</v>
      </c>
    </row>
    <row r="35" spans="1:10">
      <c r="A35" s="212" t="s">
        <v>53</v>
      </c>
      <c r="B35" s="239">
        <v>200859</v>
      </c>
      <c r="C35" s="239">
        <v>200056</v>
      </c>
      <c r="D35" s="239">
        <v>207631</v>
      </c>
      <c r="E35" s="239">
        <v>204245.06369749003</v>
      </c>
      <c r="F35" s="239">
        <v>225734</v>
      </c>
      <c r="G35" s="239">
        <v>221709.00957384001</v>
      </c>
      <c r="H35" s="239">
        <v>221766.31937414003</v>
      </c>
      <c r="I35" s="239">
        <v>214779.34912432003</v>
      </c>
      <c r="J35" s="239">
        <v>211383.64876532002</v>
      </c>
    </row>
    <row r="36" spans="1:10">
      <c r="A36" s="212" t="s">
        <v>16</v>
      </c>
      <c r="B36" s="239">
        <v>1164327</v>
      </c>
      <c r="C36" s="239">
        <v>1219529</v>
      </c>
      <c r="D36" s="239">
        <v>1174844</v>
      </c>
      <c r="E36" s="239">
        <v>1131769</v>
      </c>
      <c r="F36" s="239">
        <v>1147754</v>
      </c>
      <c r="G36" s="239">
        <v>1144852.9078520499</v>
      </c>
      <c r="H36" s="239">
        <v>1126411.2844875702</v>
      </c>
      <c r="I36" s="239">
        <v>1119647.8112997001</v>
      </c>
      <c r="J36" s="239">
        <v>1036024</v>
      </c>
    </row>
    <row r="37" spans="1:10" ht="1.5" customHeight="1">
      <c r="B37" s="224"/>
      <c r="C37" s="224"/>
      <c r="D37" s="224"/>
      <c r="E37" s="224"/>
      <c r="F37" s="224"/>
      <c r="G37" s="224"/>
      <c r="H37" s="224"/>
      <c r="I37" s="224"/>
      <c r="J37" s="224"/>
    </row>
    <row r="38" spans="1:10">
      <c r="B38" s="213"/>
      <c r="C38" s="213"/>
      <c r="D38" s="213"/>
      <c r="E38" s="213"/>
      <c r="F38" s="213"/>
    </row>
    <row r="39" spans="1:10">
      <c r="B39" s="213"/>
      <c r="C39" s="213"/>
      <c r="D39" s="213"/>
      <c r="E39" s="213"/>
      <c r="F39" s="213"/>
    </row>
    <row r="40" spans="1:10">
      <c r="B40" s="213"/>
      <c r="C40" s="213"/>
      <c r="D40" s="213"/>
      <c r="E40" s="213"/>
      <c r="F40" s="213"/>
    </row>
  </sheetData>
  <pageMargins left="0.70866141732283472" right="0.70866141732283472" top="0.74803149606299213" bottom="0.74803149606299213" header="0.31496062992125984" footer="0.31496062992125984"/>
  <pageSetup paperSize="9" scale="97" firstPageNumber="12" orientation="landscape" useFirstPageNumber="1" r:id="rId1"/>
  <headerFooter>
    <oddFooter>&amp;L&amp;8______________________________________________________
&amp;"-,Italic"Arion Bank Factbook 31.12.2018&amp;C&amp;8&amp;P&amp;R&amp;"-,Italic"&amp;8______________________________________________________
All amounts are in ISK millions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pageSetUpPr fitToPage="1"/>
  </sheetPr>
  <dimension ref="A1:J43"/>
  <sheetViews>
    <sheetView zoomScaleNormal="100" workbookViewId="0">
      <selection activeCell="H6" sqref="H6"/>
    </sheetView>
  </sheetViews>
  <sheetFormatPr defaultColWidth="9.1796875" defaultRowHeight="14"/>
  <cols>
    <col min="1" max="1" width="47.54296875" style="217" customWidth="1"/>
    <col min="2" max="10" width="9" style="217" customWidth="1"/>
    <col min="11" max="11" width="40.26953125" style="217" customWidth="1"/>
    <col min="12" max="16384" width="9.1796875" style="217"/>
  </cols>
  <sheetData>
    <row r="1" spans="1:10" ht="27.75" customHeight="1">
      <c r="A1" s="206" t="s">
        <v>430</v>
      </c>
      <c r="B1" s="207"/>
      <c r="C1" s="207"/>
      <c r="D1" s="207"/>
      <c r="E1" s="207"/>
      <c r="F1" s="207"/>
      <c r="G1" s="207"/>
      <c r="H1" s="207"/>
      <c r="I1" s="207"/>
      <c r="J1" s="207"/>
    </row>
    <row r="2" spans="1:10">
      <c r="A2" s="208" t="s">
        <v>319</v>
      </c>
      <c r="B2" s="209" t="s">
        <v>280</v>
      </c>
      <c r="C2" s="209" t="s">
        <v>279</v>
      </c>
      <c r="D2" s="209" t="s">
        <v>278</v>
      </c>
      <c r="E2" s="209" t="s">
        <v>277</v>
      </c>
      <c r="F2" s="209" t="s">
        <v>276</v>
      </c>
      <c r="G2" s="209" t="s">
        <v>275</v>
      </c>
      <c r="H2" s="209" t="s">
        <v>274</v>
      </c>
      <c r="I2" s="209" t="s">
        <v>273</v>
      </c>
      <c r="J2" s="209" t="s">
        <v>272</v>
      </c>
    </row>
    <row r="3" spans="1:10">
      <c r="A3" s="210"/>
      <c r="B3" s="211"/>
      <c r="C3" s="211"/>
      <c r="D3" s="211"/>
      <c r="E3" s="211"/>
      <c r="F3" s="211"/>
      <c r="G3" s="211"/>
      <c r="H3" s="211"/>
      <c r="I3" s="211"/>
      <c r="J3" s="211"/>
    </row>
    <row r="4" spans="1:10">
      <c r="A4" s="212" t="s">
        <v>83</v>
      </c>
      <c r="B4" s="213"/>
      <c r="C4" s="213"/>
      <c r="D4" s="213"/>
      <c r="E4" s="213"/>
      <c r="F4" s="213"/>
      <c r="G4" s="213"/>
      <c r="H4" s="213"/>
      <c r="I4" s="213"/>
      <c r="J4" s="213"/>
    </row>
    <row r="5" spans="1:10">
      <c r="A5" s="214" t="s">
        <v>284</v>
      </c>
      <c r="B5" s="235">
        <v>988.97274200000004</v>
      </c>
      <c r="C5" s="235">
        <v>1270.00801</v>
      </c>
      <c r="D5" s="235">
        <v>1119.53423</v>
      </c>
      <c r="E5" s="235">
        <v>1246.195068</v>
      </c>
      <c r="F5" s="235">
        <v>1358.006081</v>
      </c>
      <c r="G5" s="235">
        <v>1619.654047</v>
      </c>
      <c r="H5" s="235">
        <v>1990.1517699999999</v>
      </c>
      <c r="I5" s="235">
        <v>1346.7822639999999</v>
      </c>
      <c r="J5" s="235">
        <v>1335.2989201099999</v>
      </c>
    </row>
    <row r="6" spans="1:10">
      <c r="A6" s="214" t="s">
        <v>343</v>
      </c>
      <c r="B6" s="235">
        <v>15147.731209</v>
      </c>
      <c r="C6" s="235">
        <v>13573.298968999999</v>
      </c>
      <c r="D6" s="235">
        <v>12572.679004</v>
      </c>
      <c r="E6" s="235">
        <v>12517.254085</v>
      </c>
      <c r="F6" s="235">
        <v>11804.508379999999</v>
      </c>
      <c r="G6" s="235">
        <v>11097.750056999999</v>
      </c>
      <c r="H6" s="235">
        <v>13312.505223</v>
      </c>
      <c r="I6" s="235">
        <v>11332.610013</v>
      </c>
      <c r="J6" s="235">
        <v>12813</v>
      </c>
    </row>
    <row r="7" spans="1:10">
      <c r="A7" s="214" t="s">
        <v>12</v>
      </c>
      <c r="B7" s="235">
        <v>152.394812</v>
      </c>
      <c r="C7" s="235">
        <v>23.257991000000001</v>
      </c>
      <c r="D7" s="235">
        <v>198.51281499999999</v>
      </c>
      <c r="E7" s="235">
        <v>257.106944</v>
      </c>
      <c r="F7" s="235">
        <v>340.00593199999997</v>
      </c>
      <c r="G7" s="235">
        <v>427.13302299999998</v>
      </c>
      <c r="H7" s="235">
        <v>514.83088999999995</v>
      </c>
      <c r="I7" s="235">
        <v>682.120408</v>
      </c>
      <c r="J7" s="235">
        <v>946</v>
      </c>
    </row>
    <row r="8" spans="1:10">
      <c r="A8" s="214" t="s">
        <v>13</v>
      </c>
      <c r="B8" s="235">
        <v>37.644347000000003</v>
      </c>
      <c r="C8" s="235">
        <v>65.905009000000007</v>
      </c>
      <c r="D8" s="235">
        <v>99.770431000000002</v>
      </c>
      <c r="E8" s="235">
        <v>46.936881999999997</v>
      </c>
      <c r="F8" s="235">
        <v>41.423316</v>
      </c>
      <c r="G8" s="235">
        <v>54.669065000000003</v>
      </c>
      <c r="H8" s="235">
        <v>45.10942</v>
      </c>
      <c r="I8" s="235">
        <v>60.895716999999998</v>
      </c>
      <c r="J8" s="235">
        <v>315</v>
      </c>
    </row>
    <row r="9" spans="1:10">
      <c r="A9" s="212" t="s">
        <v>83</v>
      </c>
      <c r="B9" s="239">
        <f>SUM(B5:B8)</f>
        <v>16326.743109999999</v>
      </c>
      <c r="C9" s="239">
        <f t="shared" ref="C9:I9" si="0">SUM(C5:C8)</f>
        <v>14932.469979</v>
      </c>
      <c r="D9" s="239">
        <f t="shared" si="0"/>
        <v>13990.49648</v>
      </c>
      <c r="E9" s="239">
        <f t="shared" si="0"/>
        <v>14067.492979000001</v>
      </c>
      <c r="F9" s="239">
        <f t="shared" si="0"/>
        <v>13543.943708999999</v>
      </c>
      <c r="G9" s="239">
        <f t="shared" si="0"/>
        <v>13199.206192</v>
      </c>
      <c r="H9" s="239">
        <f t="shared" si="0"/>
        <v>15862.597303</v>
      </c>
      <c r="I9" s="239">
        <f t="shared" si="0"/>
        <v>13422.408401999999</v>
      </c>
      <c r="J9" s="239">
        <v>15409.298920109999</v>
      </c>
    </row>
    <row r="10" spans="1:10">
      <c r="A10" s="226"/>
      <c r="B10" s="214"/>
      <c r="C10" s="214"/>
      <c r="D10" s="214"/>
      <c r="E10" s="214"/>
      <c r="F10" s="214"/>
      <c r="G10" s="214"/>
      <c r="H10" s="214"/>
      <c r="I10" s="214"/>
      <c r="J10" s="214"/>
    </row>
    <row r="11" spans="1:10">
      <c r="A11" s="212" t="s">
        <v>84</v>
      </c>
      <c r="B11" s="214"/>
      <c r="C11" s="214"/>
      <c r="D11" s="214"/>
      <c r="E11" s="214"/>
      <c r="F11" s="214"/>
      <c r="G11" s="214"/>
      <c r="H11" s="214"/>
      <c r="I11" s="214"/>
      <c r="J11" s="214"/>
    </row>
    <row r="12" spans="1:10">
      <c r="A12" s="214" t="s">
        <v>14</v>
      </c>
      <c r="B12" s="235">
        <v>-3598.8824800000002</v>
      </c>
      <c r="C12" s="235">
        <v>-3412.9447180000002</v>
      </c>
      <c r="D12" s="235">
        <v>-3113.5801710000001</v>
      </c>
      <c r="E12" s="235">
        <v>-3198.1548029999999</v>
      </c>
      <c r="F12" s="235">
        <v>-2924.1798549999999</v>
      </c>
      <c r="G12" s="235">
        <v>-2771.6430220000002</v>
      </c>
      <c r="H12" s="235">
        <v>-3803.6416559999998</v>
      </c>
      <c r="I12" s="235">
        <v>-3105.5358839999999</v>
      </c>
      <c r="J12" s="235">
        <v>-3763</v>
      </c>
    </row>
    <row r="13" spans="1:10">
      <c r="A13" s="214" t="s">
        <v>11</v>
      </c>
      <c r="B13" s="235">
        <v>-4738.9308119999996</v>
      </c>
      <c r="C13" s="235">
        <v>-4240.0439749999996</v>
      </c>
      <c r="D13" s="235">
        <v>-3556.2174479999999</v>
      </c>
      <c r="E13" s="235">
        <v>-3987.96387</v>
      </c>
      <c r="F13" s="235">
        <v>-3536.9484269999998</v>
      </c>
      <c r="G13" s="235">
        <v>-3379.2873979999999</v>
      </c>
      <c r="H13" s="235">
        <v>-4119.826865</v>
      </c>
      <c r="I13" s="235">
        <v>-3412.6801970000001</v>
      </c>
      <c r="J13" s="235">
        <v>-3797</v>
      </c>
    </row>
    <row r="14" spans="1:10">
      <c r="A14" s="214" t="s">
        <v>25</v>
      </c>
      <c r="B14" s="235">
        <v>-19.449069999999999</v>
      </c>
      <c r="C14" s="235">
        <v>0</v>
      </c>
      <c r="D14" s="235">
        <v>0</v>
      </c>
      <c r="E14" s="235">
        <v>0</v>
      </c>
      <c r="F14" s="235">
        <v>0</v>
      </c>
      <c r="G14" s="235">
        <v>0</v>
      </c>
      <c r="H14" s="235">
        <v>0</v>
      </c>
      <c r="I14" s="235">
        <v>0</v>
      </c>
      <c r="J14" s="235">
        <v>0</v>
      </c>
    </row>
    <row r="15" spans="1:10">
      <c r="A15" s="214" t="s">
        <v>13</v>
      </c>
      <c r="B15" s="235">
        <v>-23.217632999999999</v>
      </c>
      <c r="C15" s="235">
        <v>-70.543606999999994</v>
      </c>
      <c r="D15" s="235">
        <v>-6.6345359999999998</v>
      </c>
      <c r="E15" s="235">
        <v>-31.196541</v>
      </c>
      <c r="F15" s="235">
        <v>-20.177305</v>
      </c>
      <c r="G15" s="235">
        <v>-15.22921</v>
      </c>
      <c r="H15" s="235">
        <v>-18.415742000000002</v>
      </c>
      <c r="I15" s="235">
        <v>-0.126225</v>
      </c>
      <c r="J15" s="235">
        <v>-7</v>
      </c>
    </row>
    <row r="16" spans="1:10">
      <c r="A16" s="212" t="s">
        <v>84</v>
      </c>
      <c r="B16" s="239">
        <f>SUM(B12:B15)</f>
        <v>-8380.4799949999997</v>
      </c>
      <c r="C16" s="239">
        <f t="shared" ref="C16:I16" si="1">SUM(C12:C15)</f>
        <v>-7723.5322999999989</v>
      </c>
      <c r="D16" s="239">
        <f t="shared" si="1"/>
        <v>-6676.4321549999995</v>
      </c>
      <c r="E16" s="239">
        <f t="shared" si="1"/>
        <v>-7217.3152140000002</v>
      </c>
      <c r="F16" s="239">
        <f t="shared" si="1"/>
        <v>-6481.3055869999998</v>
      </c>
      <c r="G16" s="239">
        <f t="shared" si="1"/>
        <v>-6166.159630000001</v>
      </c>
      <c r="H16" s="239">
        <f t="shared" si="1"/>
        <v>-7941.8842629999999</v>
      </c>
      <c r="I16" s="239">
        <f t="shared" si="1"/>
        <v>-6518.3423060000005</v>
      </c>
      <c r="J16" s="239">
        <v>-7567</v>
      </c>
    </row>
    <row r="17" spans="1:10">
      <c r="A17" s="214"/>
      <c r="B17" s="214"/>
      <c r="C17" s="214"/>
      <c r="D17" s="214"/>
      <c r="E17" s="214"/>
      <c r="F17" s="214"/>
      <c r="G17" s="214"/>
      <c r="H17" s="214"/>
      <c r="I17" s="214"/>
      <c r="J17" s="214"/>
    </row>
    <row r="18" spans="1:10">
      <c r="A18" s="212" t="s">
        <v>0</v>
      </c>
      <c r="B18" s="238">
        <f>B9+B16</f>
        <v>7946.2631149999997</v>
      </c>
      <c r="C18" s="238">
        <f t="shared" ref="C18:I18" si="2">C9+C16</f>
        <v>7208.9376790000006</v>
      </c>
      <c r="D18" s="238">
        <f t="shared" si="2"/>
        <v>7314.0643250000003</v>
      </c>
      <c r="E18" s="238">
        <f t="shared" si="2"/>
        <v>6850.1777650000004</v>
      </c>
      <c r="F18" s="238">
        <f t="shared" si="2"/>
        <v>7062.6381219999994</v>
      </c>
      <c r="G18" s="238">
        <f t="shared" si="2"/>
        <v>7033.0465619999986</v>
      </c>
      <c r="H18" s="238">
        <f t="shared" si="2"/>
        <v>7920.7130400000005</v>
      </c>
      <c r="I18" s="238">
        <f t="shared" si="2"/>
        <v>6904.0660959999987</v>
      </c>
      <c r="J18" s="238">
        <v>7842.298920109999</v>
      </c>
    </row>
    <row r="19" spans="1:10" ht="1.5" customHeight="1">
      <c r="A19" s="212"/>
      <c r="B19" s="239"/>
      <c r="C19" s="239"/>
      <c r="D19" s="239"/>
      <c r="E19" s="239"/>
      <c r="F19" s="239"/>
      <c r="G19" s="239"/>
      <c r="H19" s="239"/>
      <c r="I19" s="239"/>
      <c r="J19" s="239"/>
    </row>
    <row r="20" spans="1:10">
      <c r="A20" s="226"/>
      <c r="B20" s="235"/>
      <c r="C20" s="235"/>
      <c r="D20" s="235"/>
      <c r="E20" s="235"/>
      <c r="F20" s="235"/>
      <c r="G20" s="235"/>
      <c r="H20" s="214"/>
      <c r="I20" s="214"/>
      <c r="J20" s="214"/>
    </row>
    <row r="21" spans="1:10">
      <c r="A21" s="212" t="s">
        <v>314</v>
      </c>
      <c r="B21" s="235"/>
      <c r="C21" s="235"/>
      <c r="D21" s="235"/>
      <c r="E21" s="235"/>
      <c r="F21" s="235"/>
      <c r="G21" s="235"/>
      <c r="H21" s="214"/>
      <c r="I21" s="214"/>
      <c r="J21" s="214"/>
    </row>
    <row r="22" spans="1:10">
      <c r="A22" s="214" t="s">
        <v>335</v>
      </c>
      <c r="B22" s="235">
        <f>'[7]2018'!H18</f>
        <v>83138.529681</v>
      </c>
      <c r="C22" s="235">
        <f>'[7]2018'!I18</f>
        <v>95274.015411</v>
      </c>
      <c r="D22" s="235">
        <f>'[7]2018'!J18</f>
        <v>110872.04652</v>
      </c>
      <c r="E22" s="235">
        <f>'[7]2018'!K18</f>
        <v>96648.663172999994</v>
      </c>
      <c r="F22" s="235">
        <f>'[7]2017'!H18</f>
        <v>135393.30804</v>
      </c>
      <c r="G22" s="235">
        <f>'[7]2017'!I18</f>
        <v>129321.416895</v>
      </c>
      <c r="H22" s="235">
        <f>'[7]2017'!J18</f>
        <v>146938.02487600001</v>
      </c>
      <c r="I22" s="235">
        <f>'[7]2017'!K18</f>
        <v>176653.142257</v>
      </c>
      <c r="J22" s="235">
        <v>87633.557692300004</v>
      </c>
    </row>
    <row r="23" spans="1:10">
      <c r="A23" s="214" t="s">
        <v>343</v>
      </c>
      <c r="B23" s="235">
        <f>'[7]2018'!H19</f>
        <v>890147.21965700004</v>
      </c>
      <c r="C23" s="235">
        <f>'[7]2018'!I19</f>
        <v>914462.12719599996</v>
      </c>
      <c r="D23" s="235">
        <f>'[7]2018'!J19</f>
        <v>886750.35482699994</v>
      </c>
      <c r="E23" s="235">
        <f>'[7]2018'!K19</f>
        <v>853135.31189400004</v>
      </c>
      <c r="F23" s="235">
        <f>'[7]2017'!H19</f>
        <v>823462.32943499996</v>
      </c>
      <c r="G23" s="235">
        <f>'[7]2017'!I19</f>
        <v>814986.61410500004</v>
      </c>
      <c r="H23" s="235">
        <f>'[7]2017'!J19</f>
        <v>785336.731868</v>
      </c>
      <c r="I23" s="235">
        <f>'[7]2017'!K19</f>
        <v>764630.38334299996</v>
      </c>
      <c r="J23" s="235">
        <v>792538.85742490995</v>
      </c>
    </row>
    <row r="24" spans="1:10">
      <c r="A24" s="214" t="s">
        <v>12</v>
      </c>
      <c r="B24" s="238">
        <f>'[7]2018'!H20</f>
        <v>87701.492964000005</v>
      </c>
      <c r="C24" s="238">
        <f>'[7]2018'!I20</f>
        <v>79852.183732999998</v>
      </c>
      <c r="D24" s="238">
        <f>'[7]2018'!J20</f>
        <v>64188</v>
      </c>
      <c r="E24" s="238">
        <f>'[7]2018'!K20</f>
        <v>71409.110069999995</v>
      </c>
      <c r="F24" s="238">
        <f>'[7]2017'!H20</f>
        <v>65389.177713999998</v>
      </c>
      <c r="G24" s="238">
        <f>'[7]2017'!I20</f>
        <v>75877.390314999997</v>
      </c>
      <c r="H24" s="238">
        <f>'[7]2017'!J20</f>
        <v>73076.886031999995</v>
      </c>
      <c r="I24" s="238">
        <f>'[7]2017'!K20</f>
        <v>78231.647584999999</v>
      </c>
      <c r="J24" s="238">
        <v>82041.994743679999</v>
      </c>
    </row>
    <row r="25" spans="1:10">
      <c r="A25" s="212" t="s">
        <v>314</v>
      </c>
      <c r="B25" s="239">
        <f>SUM(B22:B24)</f>
        <v>1060987.2423020001</v>
      </c>
      <c r="C25" s="239">
        <f t="shared" ref="C25:J25" si="3">SUM(C22:C24)</f>
        <v>1089588.3263399999</v>
      </c>
      <c r="D25" s="239">
        <f t="shared" si="3"/>
        <v>1061810.4013469999</v>
      </c>
      <c r="E25" s="239">
        <f t="shared" si="3"/>
        <v>1021193.0851370001</v>
      </c>
      <c r="F25" s="239">
        <f t="shared" si="3"/>
        <v>1024244.815189</v>
      </c>
      <c r="G25" s="239">
        <f t="shared" si="3"/>
        <v>1020185.421315</v>
      </c>
      <c r="H25" s="239">
        <f t="shared" si="3"/>
        <v>1005351.642776</v>
      </c>
      <c r="I25" s="239">
        <f t="shared" si="3"/>
        <v>1019515.173185</v>
      </c>
      <c r="J25" s="239">
        <f t="shared" si="3"/>
        <v>962214.40986089001</v>
      </c>
    </row>
    <row r="26" spans="1:10">
      <c r="A26" s="226"/>
      <c r="B26" s="214"/>
      <c r="C26" s="214"/>
      <c r="D26" s="214"/>
      <c r="E26" s="214"/>
      <c r="F26" s="214"/>
      <c r="G26" s="214"/>
      <c r="H26" s="214"/>
      <c r="I26" s="214"/>
      <c r="J26" s="214"/>
    </row>
    <row r="27" spans="1:10">
      <c r="A27" s="212" t="s">
        <v>91</v>
      </c>
      <c r="B27" s="214"/>
      <c r="C27" s="214"/>
      <c r="D27" s="214"/>
      <c r="E27" s="214"/>
      <c r="F27" s="214"/>
      <c r="G27" s="214"/>
      <c r="H27" s="214"/>
      <c r="I27" s="214"/>
      <c r="J27" s="214"/>
    </row>
    <row r="28" spans="1:10">
      <c r="A28" s="214" t="s">
        <v>336</v>
      </c>
      <c r="B28" s="235">
        <f>-'[7]2018'!H24</f>
        <v>9203.9093549999998</v>
      </c>
      <c r="C28" s="235">
        <f>-'[7]2018'!I24</f>
        <v>15369.704395999999</v>
      </c>
      <c r="D28" s="235">
        <f>-'[7]2018'!J24</f>
        <v>6336.432984</v>
      </c>
      <c r="E28" s="235">
        <f>-'[7]2018'!K24</f>
        <v>7880.3805220000004</v>
      </c>
      <c r="F28" s="235">
        <f>-'[7]2017'!H24</f>
        <v>7370.2596960000001</v>
      </c>
      <c r="G28" s="235">
        <f>-'[7]2017'!I24</f>
        <v>7097.047818</v>
      </c>
      <c r="H28" s="235">
        <f>-'[7]2017'!J24</f>
        <v>7644.4744280000004</v>
      </c>
      <c r="I28" s="235">
        <f>-'[7]2017'!K24</f>
        <v>9269.6036619999995</v>
      </c>
      <c r="J28" s="235">
        <v>7986.50732161</v>
      </c>
    </row>
    <row r="29" spans="1:10">
      <c r="A29" s="214" t="s">
        <v>14</v>
      </c>
      <c r="B29" s="235">
        <f>-'[7]2018'!H25</f>
        <v>466067.35062400001</v>
      </c>
      <c r="C29" s="235">
        <f>-'[7]2018'!I25</f>
        <v>484569.228152</v>
      </c>
      <c r="D29" s="235">
        <f>-'[7]2018'!J25</f>
        <v>476182.22279899998</v>
      </c>
      <c r="E29" s="235">
        <f>-'[7]2018'!K25</f>
        <v>453058.75998099998</v>
      </c>
      <c r="F29" s="235">
        <f>-'[7]2017'!H25</f>
        <v>462161.186583</v>
      </c>
      <c r="G29" s="235">
        <f>-'[7]2017'!I25</f>
        <v>445980.698347</v>
      </c>
      <c r="H29" s="235">
        <f>-'[7]2017'!J25</f>
        <v>437494.48015399999</v>
      </c>
      <c r="I29" s="235">
        <f>-'[7]2017'!K25</f>
        <v>475640.96600499999</v>
      </c>
      <c r="J29" s="235">
        <v>412063.58358093002</v>
      </c>
    </row>
    <row r="30" spans="1:10">
      <c r="A30" s="214" t="s">
        <v>316</v>
      </c>
      <c r="B30" s="235">
        <f>-'[7]2018'!H26</f>
        <v>2319.584828</v>
      </c>
      <c r="C30" s="235">
        <f>-'[7]2018'!I26</f>
        <v>3348.3618310000002</v>
      </c>
      <c r="D30" s="235">
        <f>-'[7]2018'!J26</f>
        <v>3885.565032</v>
      </c>
      <c r="E30" s="235">
        <f>-'[7]2018'!K26</f>
        <v>3127.4009120000001</v>
      </c>
      <c r="F30" s="235">
        <f>-'[7]2017'!H26</f>
        <v>3514.8718909999998</v>
      </c>
      <c r="G30" s="235">
        <f>-'[7]2017'!I26</f>
        <v>3432.6911169999998</v>
      </c>
      <c r="H30" s="235">
        <f>-'[7]2017'!J26</f>
        <v>4990.2169020000001</v>
      </c>
      <c r="I30" s="235">
        <f>-'[7]2017'!K26</f>
        <v>3921.9605740000002</v>
      </c>
      <c r="J30" s="235">
        <v>3726.5647477800003</v>
      </c>
    </row>
    <row r="31" spans="1:10">
      <c r="A31" s="214" t="s">
        <v>11</v>
      </c>
      <c r="B31" s="235">
        <f>-'[7]2018'!H27</f>
        <v>417782.05462800001</v>
      </c>
      <c r="C31" s="235">
        <f>-'[7]2018'!I27</f>
        <v>425591.289467</v>
      </c>
      <c r="D31" s="235">
        <f>-'[7]2018'!J27</f>
        <v>410762.36221300001</v>
      </c>
      <c r="E31" s="235">
        <f>-'[7]2018'!K27</f>
        <v>399337.94142599998</v>
      </c>
      <c r="F31" s="235">
        <f>-'[7]2017'!H27</f>
        <v>383151.26958099997</v>
      </c>
      <c r="G31" s="235">
        <f>-'[7]2017'!I27</f>
        <v>398054.69863599999</v>
      </c>
      <c r="H31" s="235">
        <f>-'[7]2017'!J27</f>
        <v>377823.670476</v>
      </c>
      <c r="I31" s="235">
        <f>-'[7]2017'!K27</f>
        <v>355633.13504600001</v>
      </c>
      <c r="J31" s="235">
        <v>339475.69649249001</v>
      </c>
    </row>
    <row r="32" spans="1:10">
      <c r="A32" s="214" t="s">
        <v>364</v>
      </c>
      <c r="B32" s="238">
        <f>-'[7]2018'!H28</f>
        <v>6531.6386469999998</v>
      </c>
      <c r="C32" s="238">
        <f>-'[7]2018'!I28</f>
        <v>0</v>
      </c>
      <c r="D32" s="238">
        <f>-'[7]2018'!J28</f>
        <v>0</v>
      </c>
      <c r="E32" s="238">
        <f>-'[7]2018'!K28</f>
        <v>0</v>
      </c>
      <c r="F32" s="238">
        <f>-'[7]2017'!H28</f>
        <v>0</v>
      </c>
      <c r="G32" s="238">
        <f>-'[7]2017'!I28</f>
        <v>0</v>
      </c>
      <c r="H32" s="238">
        <f>-'[7]2017'!J28</f>
        <v>0</v>
      </c>
      <c r="I32" s="238">
        <f>-'[7]2017'!K28</f>
        <v>0</v>
      </c>
      <c r="J32" s="238">
        <v>0</v>
      </c>
    </row>
    <row r="33" spans="1:10">
      <c r="A33" s="212" t="s">
        <v>91</v>
      </c>
      <c r="B33" s="239">
        <f>SUM(B28:B32)</f>
        <v>901904.53808199998</v>
      </c>
      <c r="C33" s="239">
        <f t="shared" ref="C33:I33" si="4">SUM(C28:C32)</f>
        <v>928878.58384600002</v>
      </c>
      <c r="D33" s="239">
        <f t="shared" si="4"/>
        <v>897166.58302800008</v>
      </c>
      <c r="E33" s="239">
        <f t="shared" si="4"/>
        <v>863404.48284099996</v>
      </c>
      <c r="F33" s="239">
        <f t="shared" si="4"/>
        <v>856197.58775099996</v>
      </c>
      <c r="G33" s="239">
        <f t="shared" si="4"/>
        <v>854565.13591800001</v>
      </c>
      <c r="H33" s="239">
        <f t="shared" si="4"/>
        <v>827952.84195999999</v>
      </c>
      <c r="I33" s="239">
        <f t="shared" si="4"/>
        <v>844465.66528700001</v>
      </c>
      <c r="J33" s="239">
        <v>763252.35214281001</v>
      </c>
    </row>
    <row r="34" spans="1:10">
      <c r="B34" s="257"/>
      <c r="C34" s="257"/>
      <c r="D34" s="257"/>
      <c r="E34" s="257"/>
      <c r="F34" s="257"/>
      <c r="G34" s="257"/>
      <c r="H34" s="257"/>
      <c r="I34" s="257"/>
      <c r="J34" s="257"/>
    </row>
    <row r="35" spans="1:10">
      <c r="A35" s="212" t="s">
        <v>54</v>
      </c>
      <c r="B35" s="235">
        <f>B25-B33</f>
        <v>159082.70422000007</v>
      </c>
      <c r="C35" s="235">
        <f t="shared" ref="C35:I35" si="5">C25-C33</f>
        <v>160709.74249399989</v>
      </c>
      <c r="D35" s="235">
        <f t="shared" si="5"/>
        <v>164643.81831899984</v>
      </c>
      <c r="E35" s="235">
        <f t="shared" si="5"/>
        <v>157788.60229600011</v>
      </c>
      <c r="F35" s="235">
        <f t="shared" si="5"/>
        <v>168047.22743800003</v>
      </c>
      <c r="G35" s="235">
        <f t="shared" si="5"/>
        <v>165620.28539700003</v>
      </c>
      <c r="H35" s="235">
        <f t="shared" si="5"/>
        <v>177398.80081599997</v>
      </c>
      <c r="I35" s="235">
        <f t="shared" si="5"/>
        <v>175049.50789799995</v>
      </c>
      <c r="J35" s="235">
        <v>198962.05771808</v>
      </c>
    </row>
    <row r="36" spans="1:10" ht="1.5" customHeight="1">
      <c r="A36" s="212"/>
      <c r="B36" s="239"/>
      <c r="C36" s="239"/>
      <c r="D36" s="239"/>
      <c r="E36" s="239"/>
      <c r="F36" s="239"/>
      <c r="G36" s="239"/>
      <c r="H36" s="239"/>
      <c r="I36" s="239"/>
      <c r="J36" s="239"/>
    </row>
    <row r="37" spans="1:10">
      <c r="A37" s="226"/>
      <c r="B37" s="214"/>
      <c r="C37" s="214"/>
      <c r="D37" s="214"/>
      <c r="E37" s="214"/>
      <c r="F37" s="214"/>
      <c r="G37" s="214"/>
      <c r="H37" s="214"/>
      <c r="I37" s="214"/>
      <c r="J37" s="214"/>
    </row>
    <row r="38" spans="1:10">
      <c r="A38" s="212" t="s">
        <v>375</v>
      </c>
      <c r="B38" s="237">
        <v>2.9559577374043133E-2</v>
      </c>
      <c r="C38" s="237">
        <v>2.6806514612939033E-2</v>
      </c>
      <c r="D38" s="237">
        <v>2.8090454470993727E-2</v>
      </c>
      <c r="E38" s="237">
        <v>2.6792024393048453E-2</v>
      </c>
      <c r="F38" s="237">
        <v>2.7636602104172334E-2</v>
      </c>
      <c r="G38" s="237">
        <v>2.7777508243844326E-2</v>
      </c>
      <c r="H38" s="237">
        <v>3.1293764024636204E-2</v>
      </c>
      <c r="I38" s="237">
        <v>2.787087059734375E-2</v>
      </c>
      <c r="J38" s="237">
        <v>3.2430325616160077E-2</v>
      </c>
    </row>
    <row r="39" spans="1:10">
      <c r="B39" s="214"/>
      <c r="C39" s="214"/>
      <c r="D39" s="214"/>
      <c r="E39" s="214"/>
      <c r="F39" s="214"/>
      <c r="G39" s="214"/>
      <c r="H39" s="214"/>
      <c r="I39" s="214"/>
      <c r="J39" s="214"/>
    </row>
    <row r="40" spans="1:10">
      <c r="B40" s="214"/>
      <c r="C40" s="214"/>
      <c r="D40" s="214"/>
      <c r="E40" s="214"/>
      <c r="F40" s="214"/>
      <c r="G40" s="214"/>
      <c r="H40" s="214"/>
      <c r="I40" s="214"/>
      <c r="J40" s="214"/>
    </row>
    <row r="41" spans="1:10">
      <c r="B41" s="214"/>
      <c r="C41" s="214"/>
      <c r="D41" s="214"/>
      <c r="E41" s="214"/>
      <c r="F41" s="214"/>
      <c r="G41" s="214"/>
      <c r="H41" s="214"/>
      <c r="I41" s="214"/>
      <c r="J41" s="214"/>
    </row>
    <row r="42" spans="1:10">
      <c r="B42" s="214"/>
      <c r="C42" s="214"/>
      <c r="D42" s="214"/>
      <c r="E42" s="214"/>
      <c r="F42" s="214"/>
      <c r="G42" s="214"/>
      <c r="H42" s="214"/>
      <c r="I42" s="214"/>
      <c r="J42" s="214"/>
    </row>
    <row r="43" spans="1:10">
      <c r="B43" s="214"/>
      <c r="C43" s="214"/>
      <c r="D43" s="214"/>
      <c r="E43" s="214"/>
      <c r="F43" s="214"/>
      <c r="G43" s="214"/>
      <c r="H43" s="214"/>
      <c r="I43" s="214"/>
      <c r="J43" s="214"/>
    </row>
  </sheetData>
  <pageMargins left="0.70866141732283472" right="0.70866141732283472" top="0.74803149606299213" bottom="0.74803149606299213" header="0.31496062992125984" footer="0.31496062992125984"/>
  <pageSetup paperSize="9" scale="92" firstPageNumber="13" orientation="landscape" useFirstPageNumber="1" r:id="rId1"/>
  <headerFooter>
    <oddFooter xml:space="preserve">&amp;L&amp;8______________________________________________________
&amp;"-,Italic"Arion Bank Factbook 30.09.2018&amp;C&amp;8&amp;P&amp;R&amp;8__________________________&amp;"-,Italic"____________________________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sheetPr>
  <dimension ref="A1:J64"/>
  <sheetViews>
    <sheetView topLeftCell="A2" zoomScaleNormal="100" workbookViewId="0">
      <selection activeCell="H6" sqref="H6"/>
    </sheetView>
  </sheetViews>
  <sheetFormatPr defaultColWidth="9.1796875" defaultRowHeight="14"/>
  <cols>
    <col min="1" max="1" width="45.26953125" style="217" customWidth="1"/>
    <col min="2" max="6" width="9.1796875" style="217" customWidth="1"/>
    <col min="7" max="10" width="9.1796875" style="217"/>
    <col min="11" max="11" width="40.26953125" style="217" customWidth="1"/>
    <col min="12" max="16384" width="9.1796875" style="217"/>
  </cols>
  <sheetData>
    <row r="1" spans="1:10" hidden="1">
      <c r="B1" s="228">
        <v>0</v>
      </c>
      <c r="C1" s="228">
        <v>1</v>
      </c>
      <c r="D1" s="228">
        <v>2</v>
      </c>
      <c r="E1" s="228">
        <v>3</v>
      </c>
      <c r="F1" s="228">
        <v>4</v>
      </c>
      <c r="G1" s="228">
        <v>5</v>
      </c>
      <c r="H1" s="228">
        <v>6</v>
      </c>
      <c r="I1" s="228">
        <v>7</v>
      </c>
      <c r="J1" s="228">
        <v>8</v>
      </c>
    </row>
    <row r="2" spans="1:10" ht="27.75" customHeight="1">
      <c r="A2" s="258" t="s">
        <v>382</v>
      </c>
      <c r="B2" s="258"/>
      <c r="C2" s="258"/>
      <c r="D2" s="258"/>
      <c r="E2" s="258"/>
      <c r="F2" s="258"/>
      <c r="G2" s="258"/>
      <c r="H2" s="258"/>
      <c r="I2" s="258"/>
      <c r="J2" s="258"/>
    </row>
    <row r="3" spans="1:10">
      <c r="A3" s="208" t="s">
        <v>319</v>
      </c>
      <c r="B3" s="209" t="s">
        <v>280</v>
      </c>
      <c r="C3" s="209" t="s">
        <v>279</v>
      </c>
      <c r="D3" s="209" t="s">
        <v>278</v>
      </c>
      <c r="E3" s="209" t="s">
        <v>277</v>
      </c>
      <c r="F3" s="209" t="s">
        <v>276</v>
      </c>
      <c r="G3" s="209" t="s">
        <v>275</v>
      </c>
      <c r="H3" s="209" t="s">
        <v>274</v>
      </c>
      <c r="I3" s="209" t="s">
        <v>273</v>
      </c>
      <c r="J3" s="209" t="s">
        <v>272</v>
      </c>
    </row>
    <row r="4" spans="1:10">
      <c r="A4" s="210"/>
      <c r="B4" s="211"/>
      <c r="C4" s="211"/>
      <c r="D4" s="211"/>
      <c r="E4" s="211"/>
      <c r="F4" s="211"/>
      <c r="G4" s="211"/>
      <c r="H4" s="211"/>
      <c r="I4" s="211"/>
      <c r="J4" s="211"/>
    </row>
    <row r="5" spans="1:10">
      <c r="A5" s="212" t="s">
        <v>24</v>
      </c>
      <c r="B5" s="213"/>
      <c r="C5" s="213"/>
      <c r="D5" s="213"/>
      <c r="E5" s="213"/>
      <c r="F5" s="213"/>
    </row>
    <row r="6" spans="1:10">
      <c r="A6" s="214" t="s">
        <v>29</v>
      </c>
      <c r="B6" s="235">
        <v>400483</v>
      </c>
      <c r="C6" s="235">
        <v>397661</v>
      </c>
      <c r="D6" s="235">
        <v>382550</v>
      </c>
      <c r="E6" s="235">
        <v>374452</v>
      </c>
      <c r="F6" s="235">
        <v>365287</v>
      </c>
      <c r="G6" s="235">
        <v>354004</v>
      </c>
      <c r="H6" s="235">
        <v>343402</v>
      </c>
      <c r="I6" s="235">
        <v>338686</v>
      </c>
      <c r="J6" s="235">
        <v>337416</v>
      </c>
    </row>
    <row r="7" spans="1:10">
      <c r="A7" s="214" t="s">
        <v>347</v>
      </c>
      <c r="B7" s="238">
        <v>433343</v>
      </c>
      <c r="C7" s="238">
        <v>422304</v>
      </c>
      <c r="D7" s="238">
        <v>421144</v>
      </c>
      <c r="E7" s="238">
        <v>407803</v>
      </c>
      <c r="F7" s="238">
        <v>399814</v>
      </c>
      <c r="G7" s="238">
        <v>396943</v>
      </c>
      <c r="H7" s="238">
        <v>390247</v>
      </c>
      <c r="I7" s="238">
        <v>381512</v>
      </c>
      <c r="J7" s="238">
        <v>375006</v>
      </c>
    </row>
    <row r="8" spans="1:10">
      <c r="A8" s="212" t="s">
        <v>89</v>
      </c>
      <c r="B8" s="239">
        <v>833826</v>
      </c>
      <c r="C8" s="239">
        <v>819965</v>
      </c>
      <c r="D8" s="239">
        <v>803694</v>
      </c>
      <c r="E8" s="239">
        <v>782255</v>
      </c>
      <c r="F8" s="239">
        <v>765101</v>
      </c>
      <c r="G8" s="239">
        <v>750947</v>
      </c>
      <c r="H8" s="239">
        <v>733649</v>
      </c>
      <c r="I8" s="239">
        <v>720198</v>
      </c>
      <c r="J8" s="239">
        <v>712422</v>
      </c>
    </row>
    <row r="9" spans="1:10">
      <c r="A9" s="226"/>
      <c r="B9" s="235"/>
      <c r="C9" s="235"/>
      <c r="D9" s="235"/>
      <c r="E9" s="235"/>
      <c r="F9" s="235"/>
      <c r="G9" s="214"/>
      <c r="H9" s="214"/>
      <c r="I9" s="214"/>
      <c r="J9" s="214"/>
    </row>
    <row r="10" spans="1:10">
      <c r="A10" s="212" t="s">
        <v>348</v>
      </c>
      <c r="B10" s="229"/>
      <c r="C10" s="229"/>
      <c r="D10" s="229"/>
      <c r="E10" s="229"/>
      <c r="F10" s="229"/>
      <c r="G10" s="229"/>
      <c r="H10" s="229"/>
      <c r="I10" s="229"/>
      <c r="J10" s="229"/>
    </row>
    <row r="11" spans="1:10">
      <c r="A11" s="214" t="s">
        <v>31</v>
      </c>
      <c r="B11" s="235">
        <v>14536</v>
      </c>
      <c r="C11" s="235">
        <v>15783</v>
      </c>
      <c r="D11" s="235">
        <v>14231</v>
      </c>
      <c r="E11" s="235">
        <v>14821</v>
      </c>
      <c r="F11" s="235">
        <v>14469</v>
      </c>
      <c r="G11" s="235">
        <v>14863</v>
      </c>
      <c r="H11" s="235">
        <v>13855</v>
      </c>
      <c r="I11" s="235">
        <v>15218</v>
      </c>
      <c r="J11" s="235">
        <v>14805</v>
      </c>
    </row>
    <row r="12" spans="1:10">
      <c r="A12" s="214" t="s">
        <v>256</v>
      </c>
      <c r="B12" s="235">
        <v>12958</v>
      </c>
      <c r="C12" s="235">
        <v>11585</v>
      </c>
      <c r="D12" s="235">
        <v>11190</v>
      </c>
      <c r="E12" s="235">
        <v>10164</v>
      </c>
      <c r="F12" s="235">
        <v>11133</v>
      </c>
      <c r="G12" s="235">
        <v>10078</v>
      </c>
      <c r="H12" s="235">
        <v>10245</v>
      </c>
      <c r="I12" s="235">
        <v>10080</v>
      </c>
      <c r="J12" s="235">
        <v>11363</v>
      </c>
    </row>
    <row r="13" spans="1:10">
      <c r="A13" s="214" t="s">
        <v>247</v>
      </c>
      <c r="B13" s="235">
        <v>343119</v>
      </c>
      <c r="C13" s="235">
        <v>338059</v>
      </c>
      <c r="D13" s="235">
        <v>327612</v>
      </c>
      <c r="E13" s="235">
        <v>320681</v>
      </c>
      <c r="F13" s="235">
        <v>311507</v>
      </c>
      <c r="G13" s="235">
        <v>302406</v>
      </c>
      <c r="H13" s="235">
        <v>294273</v>
      </c>
      <c r="I13" s="235">
        <v>288660</v>
      </c>
      <c r="J13" s="235">
        <v>285784</v>
      </c>
    </row>
    <row r="14" spans="1:10">
      <c r="A14" s="214" t="s">
        <v>33</v>
      </c>
      <c r="B14" s="235">
        <v>33560</v>
      </c>
      <c r="C14" s="235">
        <v>36351</v>
      </c>
      <c r="D14" s="235">
        <v>33736</v>
      </c>
      <c r="E14" s="235">
        <v>33274</v>
      </c>
      <c r="F14" s="235">
        <v>33629</v>
      </c>
      <c r="G14" s="235">
        <v>33116</v>
      </c>
      <c r="H14" s="235">
        <v>32609</v>
      </c>
      <c r="I14" s="235">
        <v>33480</v>
      </c>
      <c r="J14" s="235">
        <v>34777</v>
      </c>
    </row>
    <row r="15" spans="1:10">
      <c r="A15" s="214" t="s">
        <v>349</v>
      </c>
      <c r="B15" s="238">
        <v>-3690</v>
      </c>
      <c r="C15" s="238">
        <v>-4117</v>
      </c>
      <c r="D15" s="238">
        <v>-4219</v>
      </c>
      <c r="E15" s="238">
        <v>-4488</v>
      </c>
      <c r="F15" s="238">
        <v>-5451</v>
      </c>
      <c r="G15" s="238">
        <v>-6459</v>
      </c>
      <c r="H15" s="238">
        <v>-7580</v>
      </c>
      <c r="I15" s="238">
        <v>-8752</v>
      </c>
      <c r="J15" s="238">
        <v>-9313</v>
      </c>
    </row>
    <row r="16" spans="1:10">
      <c r="A16" s="212" t="s">
        <v>350</v>
      </c>
      <c r="B16" s="239">
        <v>400483</v>
      </c>
      <c r="C16" s="239">
        <v>397661</v>
      </c>
      <c r="D16" s="239">
        <v>382550</v>
      </c>
      <c r="E16" s="239">
        <v>374452</v>
      </c>
      <c r="F16" s="239">
        <v>365287</v>
      </c>
      <c r="G16" s="239">
        <v>354004</v>
      </c>
      <c r="H16" s="239">
        <v>343402</v>
      </c>
      <c r="I16" s="239">
        <v>338686</v>
      </c>
      <c r="J16" s="239">
        <v>337416</v>
      </c>
    </row>
    <row r="17" spans="1:10">
      <c r="A17" s="214"/>
      <c r="B17" s="235"/>
      <c r="C17" s="235"/>
      <c r="D17" s="235"/>
      <c r="E17" s="235"/>
      <c r="F17" s="235"/>
      <c r="G17" s="235"/>
      <c r="H17" s="235"/>
      <c r="I17" s="235"/>
      <c r="J17" s="235"/>
    </row>
    <row r="18" spans="1:10">
      <c r="A18" s="214" t="s">
        <v>426</v>
      </c>
      <c r="B18" s="233">
        <v>2.5999999999999999E-2</v>
      </c>
      <c r="C18" s="233">
        <v>2.9496113609994889E-2</v>
      </c>
      <c r="D18" s="233">
        <v>2.9758268178119225E-2</v>
      </c>
      <c r="E18" s="233">
        <v>3.3403476193919007E-2</v>
      </c>
      <c r="F18" s="233" t="s">
        <v>112</v>
      </c>
      <c r="G18" s="233" t="s">
        <v>112</v>
      </c>
      <c r="H18" s="233" t="s">
        <v>112</v>
      </c>
      <c r="I18" s="233" t="s">
        <v>112</v>
      </c>
      <c r="J18" s="233" t="s">
        <v>112</v>
      </c>
    </row>
    <row r="19" spans="1:10">
      <c r="A19" s="214" t="s">
        <v>416</v>
      </c>
      <c r="B19" s="235">
        <v>0</v>
      </c>
      <c r="C19" s="235">
        <v>0</v>
      </c>
      <c r="D19" s="235">
        <v>0</v>
      </c>
      <c r="E19" s="235">
        <v>0</v>
      </c>
      <c r="F19" s="235">
        <v>344829</v>
      </c>
      <c r="G19" s="235">
        <v>333828</v>
      </c>
      <c r="H19" s="235">
        <v>323075</v>
      </c>
      <c r="I19" s="235">
        <v>313416</v>
      </c>
      <c r="J19" s="235">
        <v>312259</v>
      </c>
    </row>
    <row r="20" spans="1:10">
      <c r="A20" s="214" t="s">
        <v>417</v>
      </c>
      <c r="B20" s="235">
        <v>0</v>
      </c>
      <c r="C20" s="235">
        <v>0</v>
      </c>
      <c r="D20" s="235">
        <v>0</v>
      </c>
      <c r="E20" s="235">
        <v>0</v>
      </c>
      <c r="F20" s="235">
        <v>18929</v>
      </c>
      <c r="G20" s="235">
        <v>18108</v>
      </c>
      <c r="H20" s="235">
        <v>18473</v>
      </c>
      <c r="I20" s="235">
        <v>22815</v>
      </c>
      <c r="J20" s="235">
        <v>21854</v>
      </c>
    </row>
    <row r="21" spans="1:10">
      <c r="A21" s="214" t="s">
        <v>418</v>
      </c>
      <c r="B21" s="235">
        <v>0</v>
      </c>
      <c r="C21" s="235">
        <v>0</v>
      </c>
      <c r="D21" s="235">
        <v>0</v>
      </c>
      <c r="E21" s="235">
        <v>0</v>
      </c>
      <c r="F21" s="235">
        <v>5539</v>
      </c>
      <c r="G21" s="235">
        <v>6754</v>
      </c>
      <c r="H21" s="235">
        <v>7221</v>
      </c>
      <c r="I21" s="235">
        <v>8708</v>
      </c>
      <c r="J21" s="235">
        <v>10372</v>
      </c>
    </row>
    <row r="22" spans="1:10">
      <c r="A22" s="214" t="s">
        <v>419</v>
      </c>
      <c r="B22" s="238">
        <v>0</v>
      </c>
      <c r="C22" s="238">
        <v>0</v>
      </c>
      <c r="D22" s="238">
        <v>0</v>
      </c>
      <c r="E22" s="238">
        <v>0</v>
      </c>
      <c r="F22" s="238">
        <v>-4010</v>
      </c>
      <c r="G22" s="238">
        <v>-4686</v>
      </c>
      <c r="H22" s="238">
        <v>-5367</v>
      </c>
      <c r="I22" s="238">
        <v>-6253</v>
      </c>
      <c r="J22" s="238">
        <v>-7069</v>
      </c>
    </row>
    <row r="23" spans="1:10">
      <c r="A23" s="212" t="s">
        <v>350</v>
      </c>
      <c r="B23" s="239">
        <v>0</v>
      </c>
      <c r="C23" s="239">
        <v>0</v>
      </c>
      <c r="D23" s="239">
        <v>0</v>
      </c>
      <c r="E23" s="239">
        <v>0</v>
      </c>
      <c r="F23" s="239">
        <v>365287</v>
      </c>
      <c r="G23" s="239">
        <v>354004</v>
      </c>
      <c r="H23" s="239">
        <v>343402</v>
      </c>
      <c r="I23" s="239">
        <v>338686</v>
      </c>
      <c r="J23" s="239">
        <v>337416</v>
      </c>
    </row>
    <row r="24" spans="1:10">
      <c r="A24" s="226"/>
      <c r="B24" s="235"/>
      <c r="C24" s="235"/>
      <c r="D24" s="235"/>
      <c r="E24" s="235"/>
      <c r="F24" s="235"/>
      <c r="G24" s="235"/>
      <c r="H24" s="235"/>
      <c r="I24" s="235"/>
      <c r="J24" s="235"/>
    </row>
    <row r="25" spans="1:10">
      <c r="A25" s="212" t="s">
        <v>379</v>
      </c>
      <c r="B25" s="235"/>
      <c r="C25" s="235"/>
      <c r="D25" s="235"/>
      <c r="E25" s="235"/>
      <c r="F25" s="235"/>
      <c r="G25" s="235"/>
      <c r="H25" s="235"/>
      <c r="I25" s="235"/>
      <c r="J25" s="235"/>
    </row>
    <row r="26" spans="1:10">
      <c r="A26" s="214" t="s">
        <v>412</v>
      </c>
      <c r="B26" s="235">
        <v>0</v>
      </c>
      <c r="C26" s="235">
        <v>0</v>
      </c>
      <c r="D26" s="235">
        <v>0</v>
      </c>
      <c r="E26" s="235">
        <v>0</v>
      </c>
      <c r="F26" s="233">
        <v>0.98411265571402784</v>
      </c>
      <c r="G26" s="233">
        <v>0.95632217944921527</v>
      </c>
      <c r="H26" s="233">
        <v>1.0497161058025204</v>
      </c>
      <c r="I26" s="233">
        <v>1.0050528249885162</v>
      </c>
      <c r="J26" s="233">
        <v>0.8978981874276899</v>
      </c>
    </row>
    <row r="27" spans="1:10">
      <c r="A27" s="214" t="s">
        <v>414</v>
      </c>
      <c r="B27" s="235">
        <v>0</v>
      </c>
      <c r="C27" s="235">
        <v>0</v>
      </c>
      <c r="D27" s="235">
        <v>0</v>
      </c>
      <c r="E27" s="235">
        <v>0</v>
      </c>
      <c r="F27" s="233">
        <v>5.1256847469651798E-2</v>
      </c>
      <c r="G27" s="233">
        <v>5.0483704591708721E-2</v>
      </c>
      <c r="H27" s="233">
        <v>5.296629000857301E-2</v>
      </c>
      <c r="I27" s="233">
        <v>6.6142129477965675E-2</v>
      </c>
      <c r="J27" s="233">
        <v>6.3439627269692433E-2</v>
      </c>
    </row>
    <row r="28" spans="1:10">
      <c r="A28" s="214" t="s">
        <v>413</v>
      </c>
      <c r="B28" s="235">
        <v>0</v>
      </c>
      <c r="C28" s="235">
        <v>0</v>
      </c>
      <c r="D28" s="235">
        <v>0</v>
      </c>
      <c r="E28" s="235">
        <v>0</v>
      </c>
      <c r="F28" s="233">
        <v>1.4998767929336009E-2</v>
      </c>
      <c r="G28" s="233">
        <v>1.8829630042655216E-2</v>
      </c>
      <c r="H28" s="233">
        <v>2.0704248370698085E-2</v>
      </c>
      <c r="I28" s="233">
        <v>2.5245043326501206E-2</v>
      </c>
      <c r="J28" s="233">
        <v>3.0108713006371829E-2</v>
      </c>
    </row>
    <row r="29" spans="1:10">
      <c r="A29" s="214"/>
      <c r="B29" s="235"/>
      <c r="C29" s="235"/>
      <c r="D29" s="235"/>
      <c r="E29" s="233"/>
      <c r="F29" s="233"/>
      <c r="G29" s="233"/>
      <c r="H29" s="233"/>
      <c r="I29" s="233"/>
      <c r="J29" s="233"/>
    </row>
    <row r="30" spans="1:10">
      <c r="A30" s="219" t="s">
        <v>427</v>
      </c>
      <c r="B30" s="235"/>
      <c r="C30" s="233"/>
      <c r="D30" s="233"/>
      <c r="E30" s="233"/>
      <c r="F30" s="233"/>
      <c r="G30" s="233"/>
      <c r="H30" s="233"/>
      <c r="I30" s="233"/>
      <c r="J30" s="233"/>
    </row>
    <row r="31" spans="1:10">
      <c r="A31" s="219" t="s">
        <v>415</v>
      </c>
      <c r="B31" s="214"/>
      <c r="C31" s="235"/>
      <c r="D31" s="235"/>
      <c r="E31" s="235"/>
      <c r="F31" s="235"/>
      <c r="G31" s="214"/>
      <c r="H31" s="214"/>
      <c r="I31" s="214"/>
      <c r="J31" s="214"/>
    </row>
    <row r="32" spans="1:10">
      <c r="A32" s="212" t="s">
        <v>357</v>
      </c>
      <c r="B32" s="256">
        <v>0</v>
      </c>
      <c r="C32" s="256">
        <v>0</v>
      </c>
      <c r="D32" s="256">
        <v>0</v>
      </c>
      <c r="E32" s="256">
        <v>0</v>
      </c>
      <c r="F32" s="256">
        <v>0</v>
      </c>
      <c r="G32" s="256">
        <v>0</v>
      </c>
      <c r="H32" s="256">
        <v>0</v>
      </c>
      <c r="I32" s="256">
        <v>0</v>
      </c>
      <c r="J32" s="256">
        <v>0</v>
      </c>
    </row>
    <row r="33" spans="1:10">
      <c r="A33" s="214" t="s">
        <v>31</v>
      </c>
      <c r="B33" s="235">
        <v>19200</v>
      </c>
      <c r="C33" s="235">
        <v>18101</v>
      </c>
      <c r="D33" s="235">
        <v>21125</v>
      </c>
      <c r="E33" s="235">
        <v>20909</v>
      </c>
      <c r="F33" s="235">
        <v>18778</v>
      </c>
      <c r="G33" s="235">
        <v>20745</v>
      </c>
      <c r="H33" s="235">
        <v>22174</v>
      </c>
      <c r="I33" s="235">
        <v>21091</v>
      </c>
      <c r="J33" s="235">
        <v>19314</v>
      </c>
    </row>
    <row r="34" spans="1:10">
      <c r="A34" s="214" t="s">
        <v>256</v>
      </c>
      <c r="B34" s="235">
        <v>1348</v>
      </c>
      <c r="C34" s="235">
        <v>1270</v>
      </c>
      <c r="D34" s="235">
        <v>1262</v>
      </c>
      <c r="E34" s="235">
        <v>1178</v>
      </c>
      <c r="F34" s="235">
        <v>1123</v>
      </c>
      <c r="G34" s="235">
        <v>1177</v>
      </c>
      <c r="H34" s="235">
        <v>1199</v>
      </c>
      <c r="I34" s="235">
        <v>1179</v>
      </c>
      <c r="J34" s="235">
        <v>1180</v>
      </c>
    </row>
    <row r="35" spans="1:10">
      <c r="A35" s="214" t="s">
        <v>247</v>
      </c>
      <c r="B35" s="235">
        <v>23417</v>
      </c>
      <c r="C35" s="235">
        <v>22598</v>
      </c>
      <c r="D35" s="235">
        <v>21549</v>
      </c>
      <c r="E35" s="235">
        <v>20448</v>
      </c>
      <c r="F35" s="235">
        <v>19632</v>
      </c>
      <c r="G35" s="235">
        <v>18300</v>
      </c>
      <c r="H35" s="235">
        <v>17810</v>
      </c>
      <c r="I35" s="235">
        <v>17069</v>
      </c>
      <c r="J35" s="235">
        <v>16298</v>
      </c>
    </row>
    <row r="36" spans="1:10">
      <c r="A36" s="214" t="s">
        <v>33</v>
      </c>
      <c r="B36" s="235">
        <v>395579</v>
      </c>
      <c r="C36" s="235">
        <v>388299</v>
      </c>
      <c r="D36" s="235">
        <v>384178</v>
      </c>
      <c r="E36" s="235">
        <v>373256</v>
      </c>
      <c r="F36" s="235">
        <v>368312</v>
      </c>
      <c r="G36" s="235">
        <v>366226</v>
      </c>
      <c r="H36" s="235">
        <v>357882</v>
      </c>
      <c r="I36" s="235">
        <v>351129</v>
      </c>
      <c r="J36" s="235">
        <v>351739</v>
      </c>
    </row>
    <row r="37" spans="1:10">
      <c r="A37" s="214" t="s">
        <v>349</v>
      </c>
      <c r="B37" s="238">
        <v>-6201</v>
      </c>
      <c r="C37" s="238">
        <v>-7964</v>
      </c>
      <c r="D37" s="238">
        <v>-6970</v>
      </c>
      <c r="E37" s="238">
        <v>-7988</v>
      </c>
      <c r="F37" s="238">
        <v>-8031</v>
      </c>
      <c r="G37" s="238">
        <v>-9505</v>
      </c>
      <c r="H37" s="238">
        <v>-8818</v>
      </c>
      <c r="I37" s="238">
        <v>-8956</v>
      </c>
      <c r="J37" s="238">
        <v>-13525</v>
      </c>
    </row>
    <row r="38" spans="1:10">
      <c r="A38" s="212" t="s">
        <v>358</v>
      </c>
      <c r="B38" s="239">
        <v>433343</v>
      </c>
      <c r="C38" s="239">
        <v>422304</v>
      </c>
      <c r="D38" s="239">
        <v>421144</v>
      </c>
      <c r="E38" s="239">
        <v>407803</v>
      </c>
      <c r="F38" s="239">
        <v>399814</v>
      </c>
      <c r="G38" s="239">
        <v>396943</v>
      </c>
      <c r="H38" s="239">
        <v>390247</v>
      </c>
      <c r="I38" s="239">
        <v>381512</v>
      </c>
      <c r="J38" s="239">
        <v>375006</v>
      </c>
    </row>
    <row r="39" spans="1:10" ht="9.75" customHeight="1">
      <c r="B39" s="235"/>
      <c r="C39" s="235"/>
      <c r="D39" s="235"/>
      <c r="E39" s="235"/>
      <c r="F39" s="235"/>
      <c r="G39" s="235"/>
      <c r="H39" s="235"/>
      <c r="I39" s="235"/>
      <c r="J39" s="235"/>
    </row>
    <row r="40" spans="1:10">
      <c r="A40" s="214" t="s">
        <v>416</v>
      </c>
      <c r="B40" s="235">
        <v>0</v>
      </c>
      <c r="C40" s="235">
        <v>0</v>
      </c>
      <c r="D40" s="235">
        <v>0</v>
      </c>
      <c r="E40" s="235">
        <v>0</v>
      </c>
      <c r="F40" s="235">
        <v>385197</v>
      </c>
      <c r="G40" s="235">
        <v>375121</v>
      </c>
      <c r="H40" s="235">
        <v>370693</v>
      </c>
      <c r="I40" s="235">
        <v>360993</v>
      </c>
      <c r="J40" s="235">
        <v>358709</v>
      </c>
    </row>
    <row r="41" spans="1:10">
      <c r="A41" s="214" t="s">
        <v>417</v>
      </c>
      <c r="B41" s="235">
        <v>0</v>
      </c>
      <c r="C41" s="235">
        <v>0</v>
      </c>
      <c r="D41" s="235">
        <v>0</v>
      </c>
      <c r="E41" s="235">
        <v>0</v>
      </c>
      <c r="F41" s="235">
        <v>13655</v>
      </c>
      <c r="G41" s="235">
        <v>19801</v>
      </c>
      <c r="H41" s="235">
        <v>17636</v>
      </c>
      <c r="I41" s="235">
        <v>18130</v>
      </c>
      <c r="J41" s="235">
        <v>14251</v>
      </c>
    </row>
    <row r="42" spans="1:10">
      <c r="A42" s="214" t="s">
        <v>418</v>
      </c>
      <c r="B42" s="235">
        <v>0</v>
      </c>
      <c r="C42" s="235">
        <v>0</v>
      </c>
      <c r="D42" s="235">
        <v>0</v>
      </c>
      <c r="E42" s="235">
        <v>0</v>
      </c>
      <c r="F42" s="235">
        <v>7239</v>
      </c>
      <c r="G42" s="235">
        <v>9349</v>
      </c>
      <c r="H42" s="235">
        <v>8477</v>
      </c>
      <c r="I42" s="235">
        <v>8858</v>
      </c>
      <c r="J42" s="235">
        <v>13258</v>
      </c>
    </row>
    <row r="43" spans="1:10">
      <c r="A43" s="214" t="s">
        <v>419</v>
      </c>
      <c r="B43" s="238">
        <v>0</v>
      </c>
      <c r="C43" s="238">
        <v>0</v>
      </c>
      <c r="D43" s="238">
        <v>0</v>
      </c>
      <c r="E43" s="238">
        <v>0</v>
      </c>
      <c r="F43" s="238">
        <v>-6277</v>
      </c>
      <c r="G43" s="238">
        <v>-7328</v>
      </c>
      <c r="H43" s="238">
        <v>-6559</v>
      </c>
      <c r="I43" s="238">
        <v>-6469</v>
      </c>
      <c r="J43" s="238">
        <v>-11212</v>
      </c>
    </row>
    <row r="44" spans="1:10">
      <c r="A44" s="212" t="s">
        <v>350</v>
      </c>
      <c r="B44" s="239">
        <v>0</v>
      </c>
      <c r="C44" s="239">
        <v>0</v>
      </c>
      <c r="D44" s="239">
        <v>0</v>
      </c>
      <c r="E44" s="239">
        <v>0</v>
      </c>
      <c r="F44" s="239">
        <v>399814</v>
      </c>
      <c r="G44" s="239">
        <v>396943</v>
      </c>
      <c r="H44" s="239">
        <v>390247</v>
      </c>
      <c r="I44" s="239">
        <v>381512</v>
      </c>
      <c r="J44" s="239">
        <v>375006</v>
      </c>
    </row>
    <row r="45" spans="1:10" ht="9.75" customHeight="1">
      <c r="A45" s="226"/>
      <c r="B45" s="235"/>
      <c r="C45" s="235"/>
      <c r="D45" s="235"/>
      <c r="E45" s="235"/>
      <c r="F45" s="235"/>
      <c r="G45" s="235"/>
      <c r="H45" s="235"/>
      <c r="I45" s="235"/>
      <c r="J45" s="235"/>
    </row>
    <row r="46" spans="1:10">
      <c r="A46" s="212" t="s">
        <v>379</v>
      </c>
      <c r="B46" s="235"/>
      <c r="C46" s="235"/>
      <c r="D46" s="235"/>
      <c r="E46" s="235"/>
      <c r="F46" s="235"/>
      <c r="G46" s="235"/>
      <c r="H46" s="235"/>
      <c r="I46" s="235"/>
      <c r="J46" s="235"/>
    </row>
    <row r="47" spans="1:10">
      <c r="A47" s="214" t="s">
        <v>412</v>
      </c>
      <c r="B47" s="235">
        <v>0</v>
      </c>
      <c r="C47" s="235">
        <v>0</v>
      </c>
      <c r="D47" s="235">
        <v>0</v>
      </c>
      <c r="E47" s="235">
        <v>0</v>
      </c>
      <c r="F47" s="233">
        <v>1.1094073767094903</v>
      </c>
      <c r="G47" s="233">
        <v>1.0166862766071239</v>
      </c>
      <c r="H47" s="233">
        <v>1.0402264952223663</v>
      </c>
      <c r="I47" s="233">
        <v>1.0110634454730187</v>
      </c>
      <c r="J47" s="233">
        <v>1.0201387841303364</v>
      </c>
    </row>
    <row r="48" spans="1:10">
      <c r="A48" s="214" t="s">
        <v>414</v>
      </c>
      <c r="B48" s="235">
        <v>0</v>
      </c>
      <c r="C48" s="235">
        <v>0</v>
      </c>
      <c r="D48" s="235">
        <v>0</v>
      </c>
      <c r="E48" s="235">
        <v>0</v>
      </c>
      <c r="F48" s="233">
        <v>3.3625468183239721E-2</v>
      </c>
      <c r="G48" s="233">
        <v>4.8979521162784367E-2</v>
      </c>
      <c r="H48" s="233">
        <v>4.4444892466343755E-2</v>
      </c>
      <c r="I48" s="233">
        <v>4.6729092404009472E-2</v>
      </c>
      <c r="J48" s="233">
        <v>3.6898849872351883E-2</v>
      </c>
    </row>
    <row r="49" spans="1:10">
      <c r="A49" s="214" t="s">
        <v>413</v>
      </c>
      <c r="B49" s="235">
        <v>0</v>
      </c>
      <c r="C49" s="235">
        <v>0</v>
      </c>
      <c r="D49" s="235">
        <v>0</v>
      </c>
      <c r="E49" s="235">
        <v>0</v>
      </c>
      <c r="F49" s="233">
        <v>1.7826053766274063E-2</v>
      </c>
      <c r="G49" s="233">
        <v>2.3125576655263425E-2</v>
      </c>
      <c r="H49" s="233">
        <v>2.1363084227557044E-2</v>
      </c>
      <c r="I49" s="233">
        <v>2.2831014920833753E-2</v>
      </c>
      <c r="J49" s="233">
        <v>3.432776307681154E-2</v>
      </c>
    </row>
    <row r="50" spans="1:10" ht="14.25" customHeight="1">
      <c r="B50" s="235"/>
      <c r="C50" s="214"/>
      <c r="D50" s="214"/>
      <c r="E50" s="214"/>
      <c r="F50" s="214"/>
      <c r="G50" s="214"/>
      <c r="H50" s="214"/>
      <c r="I50" s="214"/>
      <c r="J50" s="214"/>
    </row>
    <row r="51" spans="1:10">
      <c r="A51" s="212" t="s">
        <v>359</v>
      </c>
      <c r="B51" s="214"/>
      <c r="C51" s="214"/>
      <c r="D51" s="214"/>
      <c r="E51" s="214"/>
      <c r="F51" s="214"/>
      <c r="G51" s="214"/>
      <c r="H51" s="214"/>
      <c r="I51" s="214"/>
      <c r="J51" s="214"/>
    </row>
    <row r="52" spans="1:10">
      <c r="A52" s="214" t="s">
        <v>380</v>
      </c>
      <c r="B52" s="233">
        <v>1.721269294761886E-2</v>
      </c>
      <c r="C52" s="233">
        <v>1.7387948018489051E-2</v>
      </c>
      <c r="D52" s="233">
        <v>1.6813726421366564E-2</v>
      </c>
      <c r="E52" s="233">
        <v>1.6792421831129247E-2</v>
      </c>
      <c r="F52" s="233">
        <v>1.648266443896412E-2</v>
      </c>
      <c r="G52" s="233">
        <v>1.6183683803468005E-2</v>
      </c>
      <c r="H52" s="233">
        <v>1.5631125927937948E-2</v>
      </c>
      <c r="I52" s="233">
        <v>1.5328482459267337E-2</v>
      </c>
      <c r="J52" s="233">
        <v>1.6423737220204477E-2</v>
      </c>
    </row>
    <row r="53" spans="1:10">
      <c r="A53" s="214" t="s">
        <v>175</v>
      </c>
      <c r="B53" s="233">
        <v>3.8147610553303041E-2</v>
      </c>
      <c r="C53" s="233">
        <v>4.1650090929756765E-2</v>
      </c>
      <c r="D53" s="233">
        <v>4.525293011416523E-2</v>
      </c>
      <c r="E53" s="233">
        <v>4.264313896660888E-2</v>
      </c>
      <c r="F53" s="233">
        <v>4.5413617332059411E-2</v>
      </c>
      <c r="G53" s="233">
        <v>4.4225493332795893E-2</v>
      </c>
      <c r="H53" s="233">
        <v>4.5345640068981952E-2</v>
      </c>
      <c r="I53" s="233">
        <v>4.4693220658852145E-2</v>
      </c>
      <c r="J53" s="233">
        <v>4.6153928203815406E-2</v>
      </c>
    </row>
    <row r="54" spans="1:10">
      <c r="A54" s="214" t="s">
        <v>351</v>
      </c>
      <c r="B54" s="233">
        <v>8.6598837410550078E-2</v>
      </c>
      <c r="C54" s="233">
        <v>8.6305126165037507E-2</v>
      </c>
      <c r="D54" s="233">
        <v>8.6606956290484968E-2</v>
      </c>
      <c r="E54" s="233">
        <v>9.218666856300714E-2</v>
      </c>
      <c r="F54" s="233">
        <v>8.5384703887307595E-2</v>
      </c>
      <c r="G54" s="233">
        <v>8.9408302955336152E-2</v>
      </c>
      <c r="H54" s="233">
        <v>8.4905201064966546E-2</v>
      </c>
      <c r="I54" s="233">
        <v>9.1792656587473001E-2</v>
      </c>
      <c r="J54" s="233">
        <v>9.3169175959851303E-2</v>
      </c>
    </row>
    <row r="55" spans="1:10">
      <c r="A55" s="214" t="s">
        <v>352</v>
      </c>
      <c r="B55" s="233">
        <v>8.1704331211072984E-2</v>
      </c>
      <c r="C55" s="233">
        <v>7.7860972190649386E-2</v>
      </c>
      <c r="D55" s="233">
        <v>7.4330870201166341E-2</v>
      </c>
      <c r="E55" s="233">
        <v>7.2718935368302831E-2</v>
      </c>
      <c r="F55" s="233">
        <v>7.3664253878053296E-2</v>
      </c>
      <c r="G55" s="233">
        <v>7.4040857251544925E-2</v>
      </c>
      <c r="H55" s="233">
        <v>7.5721273962387925E-2</v>
      </c>
      <c r="I55" s="233">
        <v>7.6115561240537644E-2</v>
      </c>
      <c r="J55" s="233">
        <v>7.6353445011546478E-2</v>
      </c>
    </row>
    <row r="56" spans="1:10">
      <c r="A56" s="214" t="s">
        <v>353</v>
      </c>
      <c r="B56" s="233">
        <v>4.7618168517779218E-2</v>
      </c>
      <c r="C56" s="233">
        <v>5.4626524967795714E-2</v>
      </c>
      <c r="D56" s="233">
        <v>5.6116197785080639E-2</v>
      </c>
      <c r="E56" s="233">
        <v>5.1311540130896532E-2</v>
      </c>
      <c r="F56" s="233">
        <v>5.5075610158723809E-2</v>
      </c>
      <c r="G56" s="233">
        <v>6.7306892929211493E-2</v>
      </c>
      <c r="H56" s="233">
        <v>6.9097264040466677E-2</v>
      </c>
      <c r="I56" s="233">
        <v>7.1507580364444628E-2</v>
      </c>
      <c r="J56" s="233">
        <v>7.6390777747556038E-2</v>
      </c>
    </row>
    <row r="57" spans="1:10">
      <c r="A57" s="214" t="s">
        <v>354</v>
      </c>
      <c r="B57" s="233">
        <v>1.5758879225001902E-2</v>
      </c>
      <c r="C57" s="233">
        <v>1.3440554671516254E-2</v>
      </c>
      <c r="D57" s="233">
        <v>1.6573903462948542E-2</v>
      </c>
      <c r="E57" s="233">
        <v>2.2265652778424877E-2</v>
      </c>
      <c r="F57" s="233">
        <v>1.9569099631328569E-2</v>
      </c>
      <c r="G57" s="233">
        <v>1.8806226586688769E-2</v>
      </c>
      <c r="H57" s="233">
        <v>1.9221159932043038E-2</v>
      </c>
      <c r="I57" s="233">
        <v>2.2557612866698818E-2</v>
      </c>
      <c r="J57" s="233">
        <v>2.3228961669946615E-2</v>
      </c>
    </row>
    <row r="58" spans="1:10">
      <c r="A58" s="214" t="s">
        <v>355</v>
      </c>
      <c r="B58" s="233">
        <v>0.33933166106294554</v>
      </c>
      <c r="C58" s="233">
        <v>0.31967255815715695</v>
      </c>
      <c r="D58" s="233">
        <v>0.32176642668540928</v>
      </c>
      <c r="E58" s="233">
        <v>0.31472549245591619</v>
      </c>
      <c r="F58" s="233">
        <v>0.32053154716943377</v>
      </c>
      <c r="G58" s="233">
        <v>0.3165366312039764</v>
      </c>
      <c r="H58" s="233">
        <v>0.31624073983912754</v>
      </c>
      <c r="I58" s="233">
        <v>0.31314349220994359</v>
      </c>
      <c r="J58" s="233">
        <v>0.30638176455843374</v>
      </c>
    </row>
    <row r="59" spans="1:10">
      <c r="A59" s="214" t="s">
        <v>173</v>
      </c>
      <c r="B59" s="233">
        <v>0.19413720770844342</v>
      </c>
      <c r="C59" s="233">
        <v>0.19404741607941198</v>
      </c>
      <c r="D59" s="233">
        <v>0.18342182246452521</v>
      </c>
      <c r="E59" s="233">
        <v>0.19249980995725877</v>
      </c>
      <c r="F59" s="233">
        <v>0.19743430695273301</v>
      </c>
      <c r="G59" s="233">
        <v>0.20012445111766677</v>
      </c>
      <c r="H59" s="233">
        <v>0.20653842310126663</v>
      </c>
      <c r="I59" s="233">
        <v>0.20157950470758457</v>
      </c>
      <c r="J59" s="233">
        <v>0.2039300704522061</v>
      </c>
    </row>
    <row r="60" spans="1:10">
      <c r="A60" s="214" t="s">
        <v>174</v>
      </c>
      <c r="B60" s="233">
        <v>2.7594769039767573E-2</v>
      </c>
      <c r="C60" s="233">
        <v>4.1401454876108204E-2</v>
      </c>
      <c r="D60" s="233">
        <v>4.5981896928366545E-2</v>
      </c>
      <c r="E60" s="233">
        <v>4.1581351780148747E-2</v>
      </c>
      <c r="F60" s="233">
        <v>4.2797400791367984E-2</v>
      </c>
      <c r="G60" s="233">
        <v>3.5874168331473284E-2</v>
      </c>
      <c r="H60" s="233">
        <v>2.7036722896012014E-2</v>
      </c>
      <c r="I60" s="233">
        <v>1.7606261402000462E-2</v>
      </c>
      <c r="J60" s="233">
        <v>1.7383721860450233E-2</v>
      </c>
    </row>
    <row r="61" spans="1:10">
      <c r="A61" s="214" t="s">
        <v>356</v>
      </c>
      <c r="B61" s="233">
        <v>0.15189814996434695</v>
      </c>
      <c r="C61" s="233">
        <v>0.15360972190649391</v>
      </c>
      <c r="D61" s="233">
        <v>0.15313526964648672</v>
      </c>
      <c r="E61" s="233">
        <v>0.15327253600390384</v>
      </c>
      <c r="F61" s="233">
        <v>0.14364679576002842</v>
      </c>
      <c r="G61" s="233">
        <v>0.13749329248783831</v>
      </c>
      <c r="H61" s="233">
        <v>0.14027013660579069</v>
      </c>
      <c r="I61" s="233">
        <v>0.14567562750319779</v>
      </c>
      <c r="J61" s="233">
        <v>0.14058175069198892</v>
      </c>
    </row>
    <row r="62" spans="1:10">
      <c r="B62" s="242">
        <v>1.0000023076408295</v>
      </c>
      <c r="C62" s="242">
        <v>1.0000023679624159</v>
      </c>
      <c r="D62" s="242">
        <v>1</v>
      </c>
      <c r="E62" s="242">
        <v>0.99999754783559713</v>
      </c>
      <c r="F62" s="242">
        <v>1</v>
      </c>
      <c r="G62" s="242">
        <v>1</v>
      </c>
      <c r="H62" s="242">
        <v>1.0000076874389809</v>
      </c>
      <c r="I62" s="242">
        <v>1</v>
      </c>
      <c r="J62" s="242">
        <v>0.99999733337599928</v>
      </c>
    </row>
    <row r="63" spans="1:10">
      <c r="B63" s="221"/>
      <c r="C63" s="221"/>
      <c r="D63" s="221"/>
      <c r="E63" s="221"/>
      <c r="F63" s="221"/>
      <c r="G63" s="221"/>
      <c r="H63" s="221"/>
      <c r="I63" s="221"/>
      <c r="J63" s="221"/>
    </row>
    <row r="64" spans="1:10">
      <c r="A64" s="219" t="s">
        <v>415</v>
      </c>
      <c r="B64" s="221"/>
      <c r="C64" s="221"/>
      <c r="D64" s="221"/>
      <c r="E64" s="221"/>
      <c r="F64" s="221"/>
      <c r="G64" s="221"/>
      <c r="H64" s="221"/>
      <c r="I64" s="221"/>
      <c r="J64" s="221"/>
    </row>
  </sheetData>
  <mergeCells count="1">
    <mergeCell ref="A2:J2"/>
  </mergeCells>
  <pageMargins left="0.70866141732283472" right="0.70866141732283472" top="0.74803149606299213" bottom="0.74803149606299213" header="0.31496062992125984" footer="0.31496062992125984"/>
  <pageSetup paperSize="9" scale="96" firstPageNumber="14" fitToHeight="2" orientation="landscape" useFirstPageNumber="1" r:id="rId1"/>
  <headerFooter>
    <oddFooter>&amp;L&amp;"-,Italic"&amp;8______________________________________________________
Arion Bank Factbook 31.12.2018&amp;C&amp;8&amp;P&amp;R&amp;"-,Italic"&amp;8______________________________________________________
All amounts are in ISK millions</oddFooter>
  </headerFooter>
  <rowBreaks count="1" manualBreakCount="1">
    <brk id="3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sheetPr>
  <dimension ref="A1:K62"/>
  <sheetViews>
    <sheetView zoomScaleNormal="100" workbookViewId="0">
      <selection activeCell="H6" sqref="H6"/>
    </sheetView>
  </sheetViews>
  <sheetFormatPr defaultColWidth="9.1796875" defaultRowHeight="14"/>
  <cols>
    <col min="1" max="1" width="52" style="217" customWidth="1"/>
    <col min="2" max="10" width="9" style="217" customWidth="1"/>
    <col min="11" max="11" width="40.26953125" style="217" customWidth="1"/>
    <col min="12" max="16384" width="9.1796875" style="217"/>
  </cols>
  <sheetData>
    <row r="1" spans="1:11" ht="27.75" customHeight="1">
      <c r="A1" s="206" t="s">
        <v>365</v>
      </c>
      <c r="B1" s="232">
        <v>0</v>
      </c>
      <c r="C1" s="232">
        <v>1</v>
      </c>
      <c r="D1" s="232">
        <v>2</v>
      </c>
      <c r="E1" s="232">
        <v>3</v>
      </c>
      <c r="F1" s="232">
        <v>4</v>
      </c>
      <c r="G1" s="232">
        <v>5</v>
      </c>
      <c r="H1" s="232">
        <v>6</v>
      </c>
      <c r="I1" s="232">
        <v>7</v>
      </c>
      <c r="J1" s="232">
        <v>8</v>
      </c>
    </row>
    <row r="2" spans="1:11">
      <c r="A2" s="208" t="s">
        <v>319</v>
      </c>
      <c r="B2" s="209" t="s">
        <v>280</v>
      </c>
      <c r="C2" s="209" t="s">
        <v>279</v>
      </c>
      <c r="D2" s="209" t="s">
        <v>278</v>
      </c>
      <c r="E2" s="209" t="s">
        <v>277</v>
      </c>
      <c r="F2" s="209" t="s">
        <v>276</v>
      </c>
      <c r="G2" s="209" t="s">
        <v>275</v>
      </c>
      <c r="H2" s="209" t="s">
        <v>274</v>
      </c>
      <c r="I2" s="209" t="s">
        <v>273</v>
      </c>
      <c r="J2" s="209" t="s">
        <v>272</v>
      </c>
    </row>
    <row r="3" spans="1:11">
      <c r="A3" s="210"/>
      <c r="B3" s="211"/>
      <c r="C3" s="211"/>
      <c r="D3" s="211"/>
      <c r="E3" s="211"/>
      <c r="F3" s="211"/>
      <c r="G3" s="211"/>
      <c r="H3" s="211"/>
      <c r="I3" s="211"/>
      <c r="J3" s="211"/>
    </row>
    <row r="4" spans="1:11">
      <c r="A4" s="212" t="s">
        <v>396</v>
      </c>
      <c r="B4" s="211"/>
      <c r="C4" s="211"/>
      <c r="D4" s="211"/>
      <c r="E4" s="211"/>
      <c r="F4" s="211"/>
      <c r="G4" s="211"/>
      <c r="H4" s="211"/>
      <c r="I4" s="211"/>
      <c r="J4" s="211"/>
      <c r="K4" s="212"/>
    </row>
    <row r="5" spans="1:11">
      <c r="A5" s="225" t="s">
        <v>53</v>
      </c>
      <c r="B5" s="236">
        <v>200859.04505350001</v>
      </c>
      <c r="C5" s="236">
        <v>200056</v>
      </c>
      <c r="D5" s="236">
        <v>207631</v>
      </c>
      <c r="E5" s="236">
        <v>204245</v>
      </c>
      <c r="F5" s="236">
        <v>225734.01001823001</v>
      </c>
      <c r="G5" s="236">
        <v>221708.81257509001</v>
      </c>
      <c r="H5" s="236">
        <v>221767</v>
      </c>
      <c r="I5" s="236">
        <v>214780</v>
      </c>
      <c r="J5" s="236">
        <v>211384</v>
      </c>
      <c r="K5" s="225"/>
    </row>
    <row r="6" spans="1:11">
      <c r="A6" s="214" t="s">
        <v>420</v>
      </c>
      <c r="B6" s="235">
        <v>-8986</v>
      </c>
      <c r="C6" s="235">
        <v>-8573</v>
      </c>
      <c r="D6" s="235">
        <v>-8067</v>
      </c>
      <c r="E6" s="235">
        <v>-7870</v>
      </c>
      <c r="F6" s="235">
        <v>-8635</v>
      </c>
      <c r="G6" s="235">
        <v>-8505</v>
      </c>
      <c r="H6" s="235">
        <v>-8407</v>
      </c>
      <c r="I6" s="235">
        <v>-8057</v>
      </c>
      <c r="J6" s="235">
        <v>-8126</v>
      </c>
      <c r="K6" s="225"/>
    </row>
    <row r="7" spans="1:11">
      <c r="A7" s="214" t="s">
        <v>399</v>
      </c>
      <c r="B7" s="247">
        <v>-130.32734273</v>
      </c>
      <c r="C7" s="247">
        <v>-738.8383738</v>
      </c>
      <c r="D7" s="247">
        <v>-741</v>
      </c>
      <c r="E7" s="247">
        <v>-128</v>
      </c>
      <c r="F7" s="247">
        <v>-127.83899848999999</v>
      </c>
      <c r="G7" s="247">
        <v>-174.21487483999999</v>
      </c>
      <c r="H7" s="247">
        <v>-173.52467514</v>
      </c>
      <c r="I7" s="247">
        <v>-172.55442531999998</v>
      </c>
      <c r="J7" s="247">
        <v>-171.85406631999999</v>
      </c>
      <c r="K7" s="214"/>
    </row>
    <row r="8" spans="1:11">
      <c r="A8" s="212" t="s">
        <v>405</v>
      </c>
      <c r="B8" s="235">
        <v>191742.71771077003</v>
      </c>
      <c r="C8" s="235">
        <v>190744.16162619999</v>
      </c>
      <c r="D8" s="235">
        <v>198823</v>
      </c>
      <c r="E8" s="235">
        <v>196247</v>
      </c>
      <c r="F8" s="235">
        <v>216971.17101974</v>
      </c>
      <c r="G8" s="235">
        <v>213029.59770025001</v>
      </c>
      <c r="H8" s="235">
        <v>213186.47532485999</v>
      </c>
      <c r="I8" s="235">
        <v>206550.44557467999</v>
      </c>
      <c r="J8" s="235">
        <v>203086.14593368</v>
      </c>
      <c r="K8" s="214"/>
    </row>
    <row r="9" spans="1:11">
      <c r="A9" s="214" t="s">
        <v>17</v>
      </c>
      <c r="B9" s="235">
        <v>-12152</v>
      </c>
      <c r="C9" s="235">
        <v>-11445</v>
      </c>
      <c r="D9" s="235">
        <v>-11230</v>
      </c>
      <c r="E9" s="235">
        <v>-10834</v>
      </c>
      <c r="F9" s="235">
        <v>-11125</v>
      </c>
      <c r="G9" s="235">
        <v>-9987</v>
      </c>
      <c r="H9" s="236">
        <v>-8820</v>
      </c>
      <c r="I9" s="236">
        <v>-8263</v>
      </c>
      <c r="J9" s="236">
        <v>-8201</v>
      </c>
      <c r="K9" s="214"/>
    </row>
    <row r="10" spans="1:11">
      <c r="A10" s="214" t="s">
        <v>108</v>
      </c>
      <c r="B10" s="235">
        <v>-191</v>
      </c>
      <c r="C10" s="235">
        <v>-564</v>
      </c>
      <c r="D10" s="235">
        <v>-509</v>
      </c>
      <c r="E10" s="235">
        <v>-425</v>
      </c>
      <c r="F10" s="235">
        <v>-357</v>
      </c>
      <c r="G10" s="235">
        <v>-204</v>
      </c>
      <c r="H10" s="236">
        <v>-309</v>
      </c>
      <c r="I10" s="236">
        <v>-372</v>
      </c>
      <c r="J10" s="236">
        <v>-198</v>
      </c>
      <c r="K10" s="214"/>
    </row>
    <row r="11" spans="1:11">
      <c r="A11" s="214" t="s">
        <v>363</v>
      </c>
      <c r="B11" s="235">
        <v>-1537</v>
      </c>
      <c r="C11" s="235">
        <v>-1314</v>
      </c>
      <c r="D11" s="235">
        <v>-1216</v>
      </c>
      <c r="E11" s="235">
        <v>-430</v>
      </c>
      <c r="F11" s="235">
        <v>146</v>
      </c>
      <c r="G11" s="235">
        <v>-684</v>
      </c>
      <c r="H11" s="235">
        <v>-106</v>
      </c>
      <c r="I11" s="235">
        <v>-98</v>
      </c>
      <c r="J11" s="235">
        <v>-149</v>
      </c>
      <c r="K11" s="214"/>
    </row>
    <row r="12" spans="1:11">
      <c r="A12" s="214" t="s">
        <v>406</v>
      </c>
      <c r="B12" s="235">
        <v>-9069</v>
      </c>
      <c r="C12" s="235">
        <v>-2775</v>
      </c>
      <c r="D12" s="235">
        <v>-12199</v>
      </c>
      <c r="E12" s="235">
        <v>-975</v>
      </c>
      <c r="F12" s="235">
        <v>-25000</v>
      </c>
      <c r="G12" s="235">
        <v>0</v>
      </c>
      <c r="H12" s="236">
        <v>0</v>
      </c>
      <c r="I12" s="236">
        <v>0</v>
      </c>
      <c r="J12" s="236">
        <v>0</v>
      </c>
      <c r="K12" s="214"/>
    </row>
    <row r="13" spans="1:11">
      <c r="A13" s="212" t="s">
        <v>393</v>
      </c>
      <c r="B13" s="247">
        <v>168793.71771077003</v>
      </c>
      <c r="C13" s="247">
        <v>174646.16162619999</v>
      </c>
      <c r="D13" s="247">
        <v>173669</v>
      </c>
      <c r="E13" s="247">
        <v>183583</v>
      </c>
      <c r="F13" s="247">
        <v>180635.17101974</v>
      </c>
      <c r="G13" s="247">
        <v>202154.59770025001</v>
      </c>
      <c r="H13" s="247">
        <v>203951.47532485999</v>
      </c>
      <c r="I13" s="247">
        <v>197817.44557467999</v>
      </c>
      <c r="J13" s="247">
        <v>194538.14593368</v>
      </c>
      <c r="K13" s="212"/>
    </row>
    <row r="14" spans="1:11">
      <c r="A14" s="214" t="s">
        <v>399</v>
      </c>
      <c r="B14" s="248">
        <v>130.32734273</v>
      </c>
      <c r="C14" s="248">
        <v>738.8383738</v>
      </c>
      <c r="D14" s="248">
        <v>741</v>
      </c>
      <c r="E14" s="248">
        <v>128</v>
      </c>
      <c r="F14" s="248">
        <v>127.83899848999999</v>
      </c>
      <c r="G14" s="248">
        <v>174.21487483999999</v>
      </c>
      <c r="H14" s="248">
        <v>173.52467514</v>
      </c>
      <c r="I14" s="248">
        <v>172.55442531999998</v>
      </c>
      <c r="J14" s="248">
        <v>171.85406631999999</v>
      </c>
      <c r="K14" s="214"/>
    </row>
    <row r="15" spans="1:11">
      <c r="A15" s="212" t="s">
        <v>126</v>
      </c>
      <c r="B15" s="247">
        <v>168924.04505350001</v>
      </c>
      <c r="C15" s="247">
        <v>175385</v>
      </c>
      <c r="D15" s="247">
        <v>174410</v>
      </c>
      <c r="E15" s="247">
        <v>183711</v>
      </c>
      <c r="F15" s="247">
        <v>180763.01001823001</v>
      </c>
      <c r="G15" s="247">
        <v>202328.81257509001</v>
      </c>
      <c r="H15" s="247">
        <v>204125</v>
      </c>
      <c r="I15" s="247">
        <v>197990</v>
      </c>
      <c r="J15" s="247">
        <v>194710</v>
      </c>
      <c r="K15" s="212"/>
    </row>
    <row r="16" spans="1:11">
      <c r="A16" s="214" t="s">
        <v>364</v>
      </c>
      <c r="B16" s="235">
        <v>6531.6386470899997</v>
      </c>
      <c r="C16" s="235">
        <v>0</v>
      </c>
      <c r="D16" s="235">
        <v>0</v>
      </c>
      <c r="E16" s="235">
        <v>0</v>
      </c>
      <c r="F16" s="235">
        <v>0</v>
      </c>
      <c r="G16" s="235">
        <v>0</v>
      </c>
      <c r="H16" s="235">
        <v>0</v>
      </c>
      <c r="I16" s="235">
        <v>0</v>
      </c>
      <c r="J16" s="235">
        <v>0</v>
      </c>
      <c r="K16" s="214"/>
    </row>
    <row r="17" spans="1:11" s="223" customFormat="1">
      <c r="A17" s="214" t="s">
        <v>398</v>
      </c>
      <c r="B17" s="247">
        <v>0</v>
      </c>
      <c r="C17" s="247">
        <v>0</v>
      </c>
      <c r="D17" s="247">
        <v>0</v>
      </c>
      <c r="E17" s="247">
        <v>0</v>
      </c>
      <c r="F17" s="247">
        <v>3195</v>
      </c>
      <c r="G17" s="247">
        <v>3950</v>
      </c>
      <c r="H17" s="247">
        <v>4471</v>
      </c>
      <c r="I17" s="247">
        <v>4987</v>
      </c>
      <c r="J17" s="247">
        <v>4557</v>
      </c>
      <c r="K17" s="214"/>
    </row>
    <row r="18" spans="1:11" s="223" customFormat="1">
      <c r="A18" s="212" t="s">
        <v>395</v>
      </c>
      <c r="B18" s="235">
        <v>6531.6386470899997</v>
      </c>
      <c r="C18" s="235">
        <v>0</v>
      </c>
      <c r="D18" s="235">
        <v>0</v>
      </c>
      <c r="E18" s="235">
        <v>0</v>
      </c>
      <c r="F18" s="235">
        <v>3195</v>
      </c>
      <c r="G18" s="235">
        <v>3950</v>
      </c>
      <c r="H18" s="235">
        <v>4471</v>
      </c>
      <c r="I18" s="235">
        <v>4987</v>
      </c>
      <c r="J18" s="235">
        <v>4557</v>
      </c>
      <c r="K18" s="212"/>
    </row>
    <row r="19" spans="1:11" ht="14.5" thickBot="1">
      <c r="A19" s="212" t="s">
        <v>315</v>
      </c>
      <c r="B19" s="249">
        <v>175455.68370059002</v>
      </c>
      <c r="C19" s="249">
        <v>212751.33430771003</v>
      </c>
      <c r="D19" s="249">
        <v>174410</v>
      </c>
      <c r="E19" s="249">
        <v>183711</v>
      </c>
      <c r="F19" s="249">
        <v>183958.01001823001</v>
      </c>
      <c r="G19" s="249">
        <v>206278.81257509001</v>
      </c>
      <c r="H19" s="249">
        <v>208596</v>
      </c>
      <c r="I19" s="249">
        <v>202977</v>
      </c>
      <c r="J19" s="249">
        <v>199267</v>
      </c>
      <c r="K19" s="212"/>
    </row>
    <row r="20" spans="1:11" ht="14.5" thickTop="1">
      <c r="A20" s="214"/>
      <c r="B20" s="233"/>
      <c r="C20" s="233"/>
      <c r="D20" s="233"/>
      <c r="E20" s="233"/>
      <c r="F20" s="233"/>
      <c r="G20" s="233"/>
      <c r="H20" s="233"/>
      <c r="I20" s="233"/>
      <c r="J20" s="233"/>
      <c r="K20" s="214"/>
    </row>
    <row r="21" spans="1:11">
      <c r="A21" s="212" t="s">
        <v>26</v>
      </c>
      <c r="B21" s="235"/>
      <c r="C21" s="235"/>
      <c r="D21" s="235"/>
      <c r="E21" s="235"/>
      <c r="F21" s="235"/>
      <c r="G21" s="235"/>
      <c r="H21" s="235"/>
      <c r="I21" s="235"/>
      <c r="J21" s="235"/>
      <c r="K21" s="212"/>
    </row>
    <row r="22" spans="1:11">
      <c r="A22" s="214" t="s">
        <v>397</v>
      </c>
      <c r="B22" s="236">
        <v>639788</v>
      </c>
      <c r="C22" s="236">
        <v>646016</v>
      </c>
      <c r="D22" s="236">
        <v>630789</v>
      </c>
      <c r="E22" s="236">
        <v>610623</v>
      </c>
      <c r="F22" s="236">
        <v>605058</v>
      </c>
      <c r="G22" s="236">
        <v>609235</v>
      </c>
      <c r="H22" s="236">
        <v>584838</v>
      </c>
      <c r="I22" s="236">
        <v>571483</v>
      </c>
      <c r="J22" s="236">
        <v>577470</v>
      </c>
      <c r="K22" s="214"/>
    </row>
    <row r="23" spans="1:11">
      <c r="A23" s="12" t="s">
        <v>421</v>
      </c>
      <c r="B23" s="236">
        <v>50112</v>
      </c>
      <c r="C23" s="236">
        <v>51133</v>
      </c>
      <c r="D23" s="236">
        <v>50131</v>
      </c>
      <c r="E23" s="235">
        <v>52976</v>
      </c>
      <c r="F23" s="235">
        <v>56979</v>
      </c>
      <c r="G23" s="235">
        <v>56280</v>
      </c>
      <c r="H23" s="235">
        <v>51636</v>
      </c>
      <c r="I23" s="235">
        <v>50404</v>
      </c>
      <c r="J23" s="235">
        <v>55036</v>
      </c>
      <c r="K23" s="12"/>
    </row>
    <row r="24" spans="1:11">
      <c r="A24" s="214" t="s">
        <v>422</v>
      </c>
      <c r="B24" s="235">
        <v>4405</v>
      </c>
      <c r="C24" s="235">
        <v>4461</v>
      </c>
      <c r="D24" s="235">
        <v>4172</v>
      </c>
      <c r="E24" s="235">
        <v>6009</v>
      </c>
      <c r="F24" s="235">
        <v>5844</v>
      </c>
      <c r="G24" s="235">
        <v>6268</v>
      </c>
      <c r="H24" s="235">
        <v>6721</v>
      </c>
      <c r="I24" s="235">
        <v>6708</v>
      </c>
      <c r="J24" s="235">
        <v>5550</v>
      </c>
      <c r="K24" s="214"/>
    </row>
    <row r="25" spans="1:11">
      <c r="A25" s="214" t="s">
        <v>401</v>
      </c>
      <c r="B25" s="236">
        <v>4280</v>
      </c>
      <c r="C25" s="236">
        <v>7305</v>
      </c>
      <c r="D25" s="236">
        <v>12608</v>
      </c>
      <c r="E25" s="236">
        <v>8695</v>
      </c>
      <c r="F25" s="236">
        <v>4895</v>
      </c>
      <c r="G25" s="236">
        <v>4250</v>
      </c>
      <c r="H25" s="236">
        <v>2272</v>
      </c>
      <c r="I25" s="236">
        <v>1709</v>
      </c>
      <c r="J25" s="236">
        <v>5449</v>
      </c>
      <c r="K25" s="214"/>
    </row>
    <row r="26" spans="1:11">
      <c r="A26" s="214" t="s">
        <v>39</v>
      </c>
      <c r="B26" s="236">
        <v>8928</v>
      </c>
      <c r="C26" s="236">
        <v>9717</v>
      </c>
      <c r="D26" s="236">
        <v>9666</v>
      </c>
      <c r="E26" s="236">
        <v>11522</v>
      </c>
      <c r="F26" s="236">
        <v>5473</v>
      </c>
      <c r="G26" s="236">
        <v>8237</v>
      </c>
      <c r="H26" s="236">
        <v>10390.4</v>
      </c>
      <c r="I26" s="236">
        <v>15603</v>
      </c>
      <c r="J26" s="236">
        <v>12966</v>
      </c>
      <c r="K26" s="214"/>
    </row>
    <row r="27" spans="1:11">
      <c r="A27" s="214" t="s">
        <v>423</v>
      </c>
      <c r="B27" s="236">
        <v>2228</v>
      </c>
      <c r="C27" s="236">
        <v>2235</v>
      </c>
      <c r="D27" s="236">
        <v>2699</v>
      </c>
      <c r="E27" s="236">
        <v>3148</v>
      </c>
      <c r="F27" s="235">
        <v>2506</v>
      </c>
      <c r="G27" s="235">
        <v>2583</v>
      </c>
      <c r="H27" s="235">
        <v>2770</v>
      </c>
      <c r="I27" s="235">
        <v>2391</v>
      </c>
      <c r="J27" s="235">
        <v>2678</v>
      </c>
      <c r="K27" s="214"/>
    </row>
    <row r="28" spans="1:11">
      <c r="A28" s="214" t="s">
        <v>40</v>
      </c>
      <c r="B28" s="250">
        <v>86858</v>
      </c>
      <c r="C28" s="250">
        <v>86013</v>
      </c>
      <c r="D28" s="250">
        <v>86013</v>
      </c>
      <c r="E28" s="250">
        <v>86013</v>
      </c>
      <c r="F28" s="250">
        <v>86013</v>
      </c>
      <c r="G28" s="250">
        <v>86490</v>
      </c>
      <c r="H28" s="250">
        <v>86490.4</v>
      </c>
      <c r="I28" s="250">
        <v>86490</v>
      </c>
      <c r="J28" s="250">
        <v>86490</v>
      </c>
      <c r="K28" s="214"/>
    </row>
    <row r="29" spans="1:11">
      <c r="A29" s="212" t="s">
        <v>381</v>
      </c>
      <c r="B29" s="251">
        <v>796599</v>
      </c>
      <c r="C29" s="251">
        <v>806880</v>
      </c>
      <c r="D29" s="251">
        <v>796078</v>
      </c>
      <c r="E29" s="251">
        <v>778986</v>
      </c>
      <c r="F29" s="251">
        <v>766768</v>
      </c>
      <c r="G29" s="251">
        <v>773343</v>
      </c>
      <c r="H29" s="251">
        <v>745117.8</v>
      </c>
      <c r="I29" s="251">
        <v>734788</v>
      </c>
      <c r="J29" s="251">
        <v>745639</v>
      </c>
      <c r="K29" s="212"/>
    </row>
    <row r="30" spans="1:11">
      <c r="A30" s="229"/>
      <c r="B30" s="214"/>
      <c r="C30" s="214"/>
      <c r="D30" s="214"/>
      <c r="E30" s="214"/>
      <c r="F30" s="214"/>
      <c r="G30" s="214"/>
      <c r="H30" s="214"/>
      <c r="I30" s="214"/>
      <c r="J30" s="214"/>
      <c r="K30" s="229"/>
    </row>
    <row r="31" spans="1:11">
      <c r="A31" s="212" t="s">
        <v>367</v>
      </c>
      <c r="B31" s="237"/>
      <c r="C31" s="233"/>
      <c r="D31" s="233"/>
      <c r="E31" s="233"/>
      <c r="F31" s="233"/>
      <c r="G31" s="233"/>
      <c r="H31" s="233"/>
      <c r="I31" s="233"/>
      <c r="J31" s="233"/>
      <c r="K31" s="212"/>
    </row>
    <row r="32" spans="1:11">
      <c r="A32" s="214" t="s">
        <v>402</v>
      </c>
      <c r="B32" s="233">
        <v>0.2118945842098722</v>
      </c>
      <c r="C32" s="233">
        <v>0.21645407718357129</v>
      </c>
      <c r="D32" s="233">
        <v>0.21815634718959695</v>
      </c>
      <c r="E32" s="233">
        <v>0.23557973207019595</v>
      </c>
      <c r="F32" s="233">
        <v>0.23557973207019595</v>
      </c>
      <c r="G32" s="233">
        <v>0.26140383824862123</v>
      </c>
      <c r="H32" s="233">
        <v>0.2737171739222351</v>
      </c>
      <c r="I32" s="233">
        <v>0.2692172120248833</v>
      </c>
      <c r="J32" s="233">
        <v>0.26090085896103882</v>
      </c>
      <c r="K32" s="214"/>
    </row>
    <row r="33" spans="1:11">
      <c r="A33" s="214" t="s">
        <v>102</v>
      </c>
      <c r="B33" s="233">
        <v>0.21199999999999999</v>
      </c>
      <c r="C33" s="233">
        <v>0.214</v>
      </c>
      <c r="D33" s="233">
        <v>0.219</v>
      </c>
      <c r="E33" s="233">
        <v>0.23574666652755463</v>
      </c>
      <c r="F33" s="233">
        <v>0.23574666652755463</v>
      </c>
      <c r="G33" s="233">
        <v>0.26162911333639605</v>
      </c>
      <c r="H33" s="233">
        <v>0.27395005619783247</v>
      </c>
      <c r="I33" s="233">
        <v>0.26945204784116966</v>
      </c>
      <c r="J33" s="233">
        <v>0.2611313378741858</v>
      </c>
      <c r="K33" s="214"/>
    </row>
    <row r="34" spans="1:11">
      <c r="A34" s="214" t="s">
        <v>389</v>
      </c>
      <c r="B34" s="233">
        <v>0.22025718402118252</v>
      </c>
      <c r="C34" s="233">
        <v>0.214</v>
      </c>
      <c r="D34" s="233">
        <v>0.219</v>
      </c>
      <c r="E34" s="233">
        <v>0.23574666652755463</v>
      </c>
      <c r="F34" s="233">
        <v>0.23991350708428102</v>
      </c>
      <c r="G34" s="233">
        <v>0.26673680920638387</v>
      </c>
      <c r="H34" s="233">
        <v>0.27995045154999665</v>
      </c>
      <c r="I34" s="233">
        <v>0.2762390439651351</v>
      </c>
      <c r="J34" s="233">
        <v>0.26724287442203265</v>
      </c>
      <c r="K34" s="214"/>
    </row>
    <row r="35" spans="1:11">
      <c r="A35" s="214"/>
      <c r="B35" s="233"/>
      <c r="C35" s="233"/>
      <c r="D35" s="233"/>
      <c r="E35" s="233"/>
      <c r="F35" s="233"/>
      <c r="G35" s="233"/>
      <c r="H35" s="233"/>
      <c r="I35" s="233"/>
      <c r="J35" s="233"/>
      <c r="K35" s="214"/>
    </row>
    <row r="36" spans="1:11">
      <c r="A36" s="212" t="s">
        <v>369</v>
      </c>
      <c r="B36" s="233"/>
      <c r="C36" s="233"/>
      <c r="D36" s="233"/>
      <c r="E36" s="233"/>
      <c r="F36" s="233"/>
      <c r="G36" s="233"/>
      <c r="H36" s="233"/>
      <c r="I36" s="233"/>
      <c r="J36" s="233"/>
      <c r="K36" s="212"/>
    </row>
    <row r="37" spans="1:11">
      <c r="A37" s="214" t="s">
        <v>370</v>
      </c>
      <c r="B37" s="236">
        <v>1106368</v>
      </c>
      <c r="C37" s="236">
        <v>1167238</v>
      </c>
      <c r="D37" s="236">
        <v>1116222</v>
      </c>
      <c r="E37" s="236">
        <v>1081484</v>
      </c>
      <c r="F37" s="236">
        <v>1074207</v>
      </c>
      <c r="G37" s="236">
        <v>1114525</v>
      </c>
      <c r="H37" s="236">
        <v>1100729</v>
      </c>
      <c r="I37" s="236">
        <v>1094640</v>
      </c>
      <c r="J37" s="236">
        <v>1011735</v>
      </c>
      <c r="K37" s="214"/>
    </row>
    <row r="38" spans="1:11">
      <c r="A38" s="214" t="s">
        <v>371</v>
      </c>
      <c r="B38" s="236">
        <v>8239</v>
      </c>
      <c r="C38" s="236">
        <v>8279</v>
      </c>
      <c r="D38" s="236">
        <v>8544</v>
      </c>
      <c r="E38" s="236">
        <v>10931</v>
      </c>
      <c r="F38" s="236">
        <v>10957</v>
      </c>
      <c r="G38" s="236">
        <v>12802</v>
      </c>
      <c r="H38" s="236">
        <v>9934</v>
      </c>
      <c r="I38" s="236">
        <v>7450</v>
      </c>
      <c r="J38" s="236">
        <v>8226</v>
      </c>
      <c r="K38" s="214"/>
    </row>
    <row r="39" spans="1:11">
      <c r="A39" s="214" t="s">
        <v>372</v>
      </c>
      <c r="B39" s="236">
        <v>8194</v>
      </c>
      <c r="C39" s="236">
        <v>9382</v>
      </c>
      <c r="D39" s="236">
        <v>7974</v>
      </c>
      <c r="E39" s="236">
        <v>8542</v>
      </c>
      <c r="F39" s="236">
        <v>8925</v>
      </c>
      <c r="G39" s="236">
        <v>10987</v>
      </c>
      <c r="H39" s="236">
        <v>9014</v>
      </c>
      <c r="I39" s="236">
        <v>10115</v>
      </c>
      <c r="J39" s="236">
        <v>9330</v>
      </c>
      <c r="K39" s="214"/>
    </row>
    <row r="40" spans="1:11">
      <c r="A40" s="214" t="s">
        <v>373</v>
      </c>
      <c r="B40" s="236">
        <v>68316</v>
      </c>
      <c r="C40" s="236">
        <v>82415</v>
      </c>
      <c r="D40" s="236">
        <v>86975</v>
      </c>
      <c r="E40" s="236">
        <v>88456</v>
      </c>
      <c r="F40" s="236">
        <v>83058</v>
      </c>
      <c r="G40" s="236">
        <v>97323</v>
      </c>
      <c r="H40" s="236">
        <v>86171</v>
      </c>
      <c r="I40" s="236">
        <v>80142</v>
      </c>
      <c r="J40" s="236">
        <v>83156</v>
      </c>
      <c r="K40" s="214"/>
    </row>
    <row r="41" spans="1:11">
      <c r="A41" s="212" t="s">
        <v>374</v>
      </c>
      <c r="B41" s="251">
        <v>1191117</v>
      </c>
      <c r="C41" s="251">
        <v>1267314</v>
      </c>
      <c r="D41" s="251">
        <v>1219715</v>
      </c>
      <c r="E41" s="251">
        <v>1189413</v>
      </c>
      <c r="F41" s="251">
        <v>1177147</v>
      </c>
      <c r="G41" s="251">
        <v>1235637</v>
      </c>
      <c r="H41" s="251">
        <v>1205848</v>
      </c>
      <c r="I41" s="251">
        <v>1192347</v>
      </c>
      <c r="J41" s="251">
        <v>1112447</v>
      </c>
      <c r="K41" s="212"/>
    </row>
    <row r="42" spans="1:11">
      <c r="A42" s="212" t="s">
        <v>126</v>
      </c>
      <c r="B42" s="251">
        <v>168924.04505350001</v>
      </c>
      <c r="C42" s="251">
        <v>175385</v>
      </c>
      <c r="D42" s="251">
        <v>174410</v>
      </c>
      <c r="E42" s="251">
        <v>180763</v>
      </c>
      <c r="F42" s="251">
        <v>180763</v>
      </c>
      <c r="G42" s="251">
        <v>202329</v>
      </c>
      <c r="H42" s="251">
        <v>204125</v>
      </c>
      <c r="I42" s="251">
        <v>197990</v>
      </c>
      <c r="J42" s="251">
        <v>194965.73826099999</v>
      </c>
      <c r="K42" s="212"/>
    </row>
    <row r="43" spans="1:11">
      <c r="A43" s="212" t="s">
        <v>369</v>
      </c>
      <c r="B43" s="245">
        <v>0.14181985905120992</v>
      </c>
      <c r="C43" s="245">
        <v>0.13839111696075321</v>
      </c>
      <c r="D43" s="245">
        <v>0.14299242036049406</v>
      </c>
      <c r="E43" s="245">
        <v>0.15356026052820931</v>
      </c>
      <c r="F43" s="245">
        <v>0.15356026052820931</v>
      </c>
      <c r="G43" s="245">
        <v>0.16630209710742944</v>
      </c>
      <c r="H43" s="245">
        <v>0.17194647778269559</v>
      </c>
      <c r="I43" s="245">
        <v>0.16857882899872828</v>
      </c>
      <c r="J43" s="245">
        <v>0.17792492845918609</v>
      </c>
      <c r="K43" s="212"/>
    </row>
    <row r="44" spans="1:11">
      <c r="A44" s="216"/>
      <c r="B44" s="233"/>
      <c r="C44" s="233"/>
      <c r="D44" s="233"/>
      <c r="E44" s="233"/>
      <c r="F44" s="233"/>
      <c r="G44" s="233"/>
      <c r="H44" s="233"/>
      <c r="I44" s="233"/>
      <c r="J44" s="233"/>
      <c r="K44" s="216"/>
    </row>
    <row r="45" spans="1:11">
      <c r="A45" s="212" t="s">
        <v>368</v>
      </c>
      <c r="B45" s="233"/>
      <c r="C45" s="233"/>
      <c r="D45" s="233"/>
      <c r="E45" s="233"/>
      <c r="F45" s="233"/>
      <c r="G45" s="233"/>
      <c r="H45" s="233"/>
      <c r="I45" s="233"/>
      <c r="J45" s="233"/>
      <c r="K45" s="212"/>
    </row>
    <row r="46" spans="1:11">
      <c r="A46" s="214" t="s">
        <v>34</v>
      </c>
      <c r="B46" s="246">
        <v>9.8560037472331091E-3</v>
      </c>
      <c r="C46" s="246">
        <v>1.0433895933744762E-2</v>
      </c>
      <c r="D46" s="246">
        <v>1.2838666479918286E-2</v>
      </c>
      <c r="E46" s="246">
        <v>1.0086986674464371E-2</v>
      </c>
      <c r="F46" s="246">
        <v>1.9145403570873368E-2</v>
      </c>
      <c r="G46" s="246">
        <v>1.8410380897433597E-2</v>
      </c>
      <c r="H46" s="246">
        <v>2.821331657758586E-2</v>
      </c>
      <c r="I46" s="246">
        <v>1.8111221186860274E-2</v>
      </c>
      <c r="J46" s="246">
        <v>2.8748743788962881E-2</v>
      </c>
      <c r="K46" s="214"/>
    </row>
    <row r="47" spans="1:11">
      <c r="A47" s="214" t="s">
        <v>313</v>
      </c>
      <c r="B47" s="246">
        <v>0.68417169570436176</v>
      </c>
      <c r="C47" s="246">
        <v>0.66163225730221253</v>
      </c>
      <c r="D47" s="246">
        <v>0.67760311694312314</v>
      </c>
      <c r="E47" s="246">
        <v>0.68829133059883385</v>
      </c>
      <c r="F47" s="246">
        <v>0.66805954992162397</v>
      </c>
      <c r="G47" s="246">
        <v>0.68370891083149987</v>
      </c>
      <c r="H47" s="246">
        <v>0.67017317448365499</v>
      </c>
      <c r="I47" s="246">
        <v>0.66419945756535737</v>
      </c>
      <c r="J47" s="246">
        <v>0.7271231209751724</v>
      </c>
      <c r="K47" s="214"/>
    </row>
    <row r="49" spans="1:11" ht="19.5" customHeight="1">
      <c r="A49" s="259" t="s">
        <v>409</v>
      </c>
      <c r="B49" s="259"/>
      <c r="C49" s="259"/>
      <c r="D49" s="259"/>
      <c r="E49" s="259"/>
      <c r="F49" s="259"/>
      <c r="K49" s="219"/>
    </row>
    <row r="50" spans="1:11">
      <c r="A50" s="219" t="s">
        <v>410</v>
      </c>
      <c r="K50" s="219"/>
    </row>
    <row r="51" spans="1:11">
      <c r="A51" s="219"/>
      <c r="K51" s="219"/>
    </row>
    <row r="55" spans="1:11">
      <c r="A55" s="219"/>
    </row>
    <row r="56" spans="1:11">
      <c r="A56" s="219"/>
    </row>
    <row r="57" spans="1:11">
      <c r="A57" s="216"/>
      <c r="B57" s="215"/>
      <c r="C57" s="215"/>
      <c r="D57" s="215"/>
      <c r="E57" s="215"/>
      <c r="F57" s="215"/>
      <c r="G57" s="215"/>
      <c r="H57" s="215"/>
      <c r="I57" s="215"/>
      <c r="J57" s="215"/>
    </row>
    <row r="58" spans="1:11">
      <c r="B58" s="215"/>
      <c r="C58" s="215"/>
      <c r="D58" s="215"/>
      <c r="E58" s="215"/>
      <c r="F58" s="215"/>
      <c r="G58" s="215"/>
      <c r="H58" s="215"/>
      <c r="I58" s="215"/>
      <c r="J58" s="215"/>
    </row>
    <row r="59" spans="1:11">
      <c r="A59" s="229"/>
      <c r="B59" s="218"/>
      <c r="C59" s="218"/>
      <c r="D59" s="218"/>
      <c r="E59" s="218"/>
      <c r="F59" s="218"/>
      <c r="G59" s="218"/>
      <c r="H59" s="218"/>
      <c r="I59" s="218"/>
      <c r="J59" s="218"/>
    </row>
    <row r="60" spans="1:11">
      <c r="A60" s="216"/>
      <c r="B60" s="215"/>
      <c r="C60" s="215"/>
      <c r="D60" s="215"/>
      <c r="E60" s="215"/>
      <c r="F60" s="215"/>
      <c r="G60" s="215"/>
      <c r="H60" s="215"/>
      <c r="I60" s="215"/>
      <c r="J60" s="215"/>
    </row>
    <row r="61" spans="1:11">
      <c r="A61" s="216"/>
      <c r="B61" s="215"/>
      <c r="C61" s="215"/>
      <c r="D61" s="215"/>
      <c r="E61" s="215"/>
      <c r="F61" s="215"/>
      <c r="G61" s="215"/>
      <c r="H61" s="215"/>
      <c r="I61" s="215"/>
      <c r="J61" s="215"/>
    </row>
    <row r="62" spans="1:11">
      <c r="A62" s="216"/>
      <c r="B62" s="215"/>
      <c r="C62" s="215"/>
      <c r="D62" s="215"/>
      <c r="E62" s="215"/>
      <c r="F62" s="215"/>
      <c r="G62" s="215"/>
      <c r="H62" s="215"/>
      <c r="I62" s="215"/>
      <c r="J62" s="215"/>
    </row>
  </sheetData>
  <mergeCells count="1">
    <mergeCell ref="A49:F49"/>
  </mergeCells>
  <pageMargins left="0.70866141732283472" right="0.70866141732283472" top="0.74803149606299213" bottom="0.74803149606299213" header="0.31496062992125984" footer="0.31496062992125984"/>
  <pageSetup paperSize="9" scale="98" firstPageNumber="16" fitToHeight="2" orientation="landscape" useFirstPageNumber="1" r:id="rId1"/>
  <headerFooter>
    <oddFooter>&amp;L&amp;8______________________________________________________&amp;"-,Italic"
Arion Bank Factbook 31.12.2018&amp;C&amp;8&amp;P&amp;R&amp;8__________________________&amp;"-,Italic"____________________________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L62"/>
  <sheetViews>
    <sheetView view="pageBreakPreview" zoomScaleNormal="100" zoomScaleSheetLayoutView="100" workbookViewId="0">
      <selection activeCell="H6" sqref="H6"/>
    </sheetView>
  </sheetViews>
  <sheetFormatPr defaultColWidth="9.1796875" defaultRowHeight="14.5"/>
  <cols>
    <col min="1" max="1" width="44.81640625" style="198" customWidth="1"/>
    <col min="2" max="6" width="9" style="198" customWidth="1"/>
    <col min="7" max="7" width="40.26953125" style="198" customWidth="1"/>
    <col min="8" max="16384" width="9.1796875" style="198"/>
  </cols>
  <sheetData>
    <row r="1" spans="1:12" ht="27.75" customHeight="1">
      <c r="A1" s="206" t="s">
        <v>383</v>
      </c>
      <c r="B1" s="203">
        <v>0</v>
      </c>
      <c r="C1" s="203" t="e">
        <f>-VLOOKUP(#REF!,#REF!,10,FALSE)</f>
        <v>#REF!</v>
      </c>
      <c r="D1" s="203" t="e">
        <f>+C1+4</f>
        <v>#REF!</v>
      </c>
      <c r="E1" s="203" t="e">
        <f>+D1+4</f>
        <v>#REF!</v>
      </c>
      <c r="F1" s="203" t="e">
        <f>+E1+4</f>
        <v>#REF!</v>
      </c>
      <c r="G1" s="196"/>
    </row>
    <row r="2" spans="1:12">
      <c r="A2" s="204"/>
      <c r="B2" s="205"/>
      <c r="C2" s="205"/>
      <c r="D2" s="205"/>
      <c r="E2" s="205"/>
      <c r="F2" s="205"/>
      <c r="G2" s="196"/>
    </row>
    <row r="3" spans="1:12">
      <c r="A3" s="199"/>
      <c r="B3" s="200"/>
      <c r="C3" s="200"/>
      <c r="D3" s="200"/>
      <c r="E3" s="200"/>
      <c r="F3" s="200"/>
      <c r="G3" s="196"/>
    </row>
    <row r="4" spans="1:12">
      <c r="A4" s="199"/>
      <c r="B4" s="200"/>
      <c r="C4" s="200"/>
      <c r="D4" s="200"/>
      <c r="E4" s="200"/>
      <c r="F4" s="200"/>
      <c r="G4" s="196"/>
    </row>
    <row r="5" spans="1:12" ht="15" customHeight="1">
      <c r="A5" s="260" t="s">
        <v>384</v>
      </c>
      <c r="B5" s="260"/>
      <c r="C5" s="260"/>
      <c r="D5" s="260"/>
      <c r="E5" s="260"/>
      <c r="F5" s="260"/>
      <c r="G5" s="261"/>
      <c r="H5" s="261"/>
      <c r="I5" s="261"/>
      <c r="J5" s="261"/>
      <c r="K5" s="261"/>
      <c r="L5" s="261"/>
    </row>
    <row r="6" spans="1:12">
      <c r="A6" s="260"/>
      <c r="B6" s="260"/>
      <c r="C6" s="260"/>
      <c r="D6" s="260"/>
      <c r="E6" s="260"/>
      <c r="F6" s="260"/>
      <c r="G6" s="261"/>
      <c r="H6" s="261"/>
      <c r="I6" s="261"/>
      <c r="J6" s="261"/>
      <c r="K6" s="261"/>
      <c r="L6" s="261"/>
    </row>
    <row r="7" spans="1:12">
      <c r="A7" s="260"/>
      <c r="B7" s="260"/>
      <c r="C7" s="260"/>
      <c r="D7" s="260"/>
      <c r="E7" s="260"/>
      <c r="F7" s="260"/>
      <c r="G7" s="261"/>
      <c r="H7" s="261"/>
      <c r="I7" s="261"/>
      <c r="J7" s="261"/>
      <c r="K7" s="261"/>
      <c r="L7" s="261"/>
    </row>
    <row r="8" spans="1:12">
      <c r="A8" s="260"/>
      <c r="B8" s="260"/>
      <c r="C8" s="260"/>
      <c r="D8" s="260"/>
      <c r="E8" s="260"/>
      <c r="F8" s="260"/>
      <c r="G8" s="261"/>
      <c r="H8" s="261"/>
      <c r="I8" s="261"/>
      <c r="J8" s="261"/>
      <c r="K8" s="261"/>
      <c r="L8" s="261"/>
    </row>
    <row r="9" spans="1:12">
      <c r="A9" s="260" t="s">
        <v>385</v>
      </c>
      <c r="B9" s="260"/>
      <c r="C9" s="260"/>
      <c r="D9" s="260"/>
      <c r="E9" s="260"/>
      <c r="F9" s="260"/>
      <c r="G9" s="261"/>
      <c r="H9" s="261"/>
      <c r="I9" s="261"/>
      <c r="J9" s="261"/>
      <c r="K9" s="261"/>
      <c r="L9" s="261"/>
    </row>
    <row r="10" spans="1:12">
      <c r="A10" s="260"/>
      <c r="B10" s="260"/>
      <c r="C10" s="260"/>
      <c r="D10" s="260"/>
      <c r="E10" s="260"/>
      <c r="F10" s="260"/>
      <c r="G10" s="261"/>
      <c r="H10" s="261"/>
      <c r="I10" s="261"/>
      <c r="J10" s="261"/>
      <c r="K10" s="261"/>
      <c r="L10" s="261"/>
    </row>
    <row r="11" spans="1:12">
      <c r="A11" s="260"/>
      <c r="B11" s="260"/>
      <c r="C11" s="260"/>
      <c r="D11" s="260"/>
      <c r="E11" s="260"/>
      <c r="F11" s="260"/>
      <c r="G11" s="261"/>
      <c r="H11" s="261"/>
      <c r="I11" s="261"/>
      <c r="J11" s="261"/>
      <c r="K11" s="261"/>
      <c r="L11" s="261"/>
    </row>
    <row r="12" spans="1:12">
      <c r="A12" s="260" t="s">
        <v>386</v>
      </c>
      <c r="B12" s="260"/>
      <c r="C12" s="260"/>
      <c r="D12" s="260"/>
      <c r="E12" s="260"/>
      <c r="F12" s="260"/>
      <c r="G12" s="261"/>
      <c r="H12" s="261"/>
      <c r="I12" s="261"/>
      <c r="J12" s="261"/>
      <c r="K12" s="261"/>
      <c r="L12" s="261"/>
    </row>
    <row r="13" spans="1:12">
      <c r="A13" s="260"/>
      <c r="B13" s="260"/>
      <c r="C13" s="260"/>
      <c r="D13" s="260"/>
      <c r="E13" s="260"/>
      <c r="F13" s="260"/>
      <c r="G13" s="261"/>
      <c r="H13" s="261"/>
      <c r="I13" s="261"/>
      <c r="J13" s="261"/>
      <c r="K13" s="261"/>
      <c r="L13" s="261"/>
    </row>
    <row r="14" spans="1:12">
      <c r="A14" s="260"/>
      <c r="B14" s="260"/>
      <c r="C14" s="260"/>
      <c r="D14" s="260"/>
      <c r="E14" s="260"/>
      <c r="F14" s="260"/>
      <c r="G14" s="261"/>
      <c r="H14" s="261"/>
      <c r="I14" s="261"/>
      <c r="J14" s="261"/>
      <c r="K14" s="261"/>
      <c r="L14" s="261"/>
    </row>
    <row r="15" spans="1:12">
      <c r="A15" s="260"/>
      <c r="B15" s="260"/>
      <c r="C15" s="260"/>
      <c r="D15" s="260"/>
      <c r="E15" s="260"/>
      <c r="F15" s="260"/>
      <c r="G15" s="261"/>
      <c r="H15" s="261"/>
      <c r="I15" s="261"/>
      <c r="J15" s="261"/>
      <c r="K15" s="261"/>
      <c r="L15" s="261"/>
    </row>
    <row r="16" spans="1:12">
      <c r="A16" s="260"/>
      <c r="B16" s="260"/>
      <c r="C16" s="260"/>
      <c r="D16" s="260"/>
      <c r="E16" s="260"/>
      <c r="F16" s="260"/>
      <c r="G16" s="261"/>
      <c r="H16" s="261"/>
      <c r="I16" s="261"/>
      <c r="J16" s="261"/>
      <c r="K16" s="261"/>
      <c r="L16" s="261"/>
    </row>
    <row r="17" spans="1:12">
      <c r="A17" s="260"/>
      <c r="B17" s="260"/>
      <c r="C17" s="260"/>
      <c r="D17" s="260"/>
      <c r="E17" s="260"/>
      <c r="F17" s="260"/>
      <c r="G17" s="261"/>
      <c r="H17" s="261"/>
      <c r="I17" s="261"/>
      <c r="J17" s="261"/>
      <c r="K17" s="261"/>
      <c r="L17" s="261"/>
    </row>
    <row r="18" spans="1:12" s="195" customFormat="1">
      <c r="A18" s="260" t="s">
        <v>388</v>
      </c>
      <c r="B18" s="260"/>
      <c r="C18" s="260"/>
      <c r="D18" s="260"/>
      <c r="E18" s="260"/>
      <c r="F18" s="260"/>
      <c r="G18" s="261"/>
      <c r="H18" s="261"/>
      <c r="I18" s="261"/>
      <c r="J18" s="261"/>
      <c r="K18" s="261"/>
      <c r="L18" s="261"/>
    </row>
    <row r="19" spans="1:12">
      <c r="A19" s="260"/>
      <c r="B19" s="260"/>
      <c r="C19" s="260"/>
      <c r="D19" s="260"/>
      <c r="E19" s="260"/>
      <c r="F19" s="260"/>
      <c r="G19" s="261"/>
      <c r="H19" s="261"/>
      <c r="I19" s="261"/>
      <c r="J19" s="261"/>
      <c r="K19" s="261"/>
      <c r="L19" s="261"/>
    </row>
    <row r="20" spans="1:12">
      <c r="A20" s="214" t="s">
        <v>387</v>
      </c>
      <c r="B20" s="217"/>
      <c r="C20" s="217"/>
      <c r="D20" s="217"/>
      <c r="E20" s="217"/>
      <c r="F20" s="217"/>
      <c r="G20" s="261"/>
      <c r="H20" s="261"/>
      <c r="I20" s="261"/>
      <c r="J20" s="261"/>
      <c r="K20" s="261"/>
      <c r="L20" s="261"/>
    </row>
    <row r="21" spans="1:12">
      <c r="A21" s="201"/>
      <c r="B21" s="201"/>
      <c r="C21" s="201"/>
      <c r="D21" s="201"/>
      <c r="E21" s="201"/>
      <c r="F21" s="201"/>
      <c r="G21" s="261"/>
      <c r="H21" s="261"/>
      <c r="I21" s="261"/>
      <c r="J21" s="261"/>
      <c r="K21" s="261"/>
      <c r="L21" s="261"/>
    </row>
    <row r="22" spans="1:12">
      <c r="A22" s="201"/>
      <c r="B22" s="201"/>
      <c r="C22" s="201"/>
      <c r="D22" s="201"/>
      <c r="E22" s="201"/>
      <c r="F22" s="201"/>
      <c r="G22" s="261"/>
      <c r="H22" s="261"/>
      <c r="I22" s="261"/>
      <c r="J22" s="261"/>
      <c r="K22" s="261"/>
      <c r="L22" s="261"/>
    </row>
    <row r="23" spans="1:12">
      <c r="A23" s="201"/>
      <c r="B23" s="201"/>
      <c r="C23" s="201"/>
      <c r="D23" s="201"/>
      <c r="E23" s="201"/>
      <c r="F23" s="201"/>
      <c r="G23" s="261"/>
      <c r="H23" s="261"/>
      <c r="I23" s="261"/>
      <c r="J23" s="261"/>
      <c r="K23" s="261"/>
      <c r="L23" s="261"/>
    </row>
    <row r="24" spans="1:12">
      <c r="A24" s="201"/>
      <c r="B24" s="201"/>
      <c r="C24" s="201"/>
      <c r="D24" s="201"/>
      <c r="E24" s="201"/>
      <c r="F24" s="201"/>
      <c r="G24" s="261"/>
      <c r="H24" s="261"/>
      <c r="I24" s="261"/>
      <c r="J24" s="261"/>
      <c r="K24" s="261"/>
      <c r="L24" s="261"/>
    </row>
    <row r="25" spans="1:12">
      <c r="A25" s="201"/>
      <c r="B25" s="201"/>
      <c r="C25" s="201"/>
      <c r="D25" s="201"/>
      <c r="E25" s="201"/>
      <c r="F25" s="201"/>
      <c r="G25" s="261"/>
      <c r="H25" s="261"/>
      <c r="I25" s="261"/>
      <c r="J25" s="261"/>
      <c r="K25" s="261"/>
      <c r="L25" s="261"/>
    </row>
    <row r="26" spans="1:12">
      <c r="A26" s="201"/>
      <c r="B26" s="201"/>
      <c r="C26" s="201"/>
      <c r="D26" s="201"/>
      <c r="E26" s="201"/>
      <c r="F26" s="201"/>
      <c r="G26" s="261"/>
      <c r="H26" s="261"/>
      <c r="I26" s="261"/>
      <c r="J26" s="261"/>
      <c r="K26" s="261"/>
      <c r="L26" s="261"/>
    </row>
    <row r="27" spans="1:12">
      <c r="A27" s="197"/>
      <c r="B27" s="196"/>
      <c r="C27" s="196"/>
      <c r="D27" s="196"/>
      <c r="E27" s="196"/>
      <c r="F27" s="196"/>
      <c r="G27" s="197"/>
      <c r="H27" s="196"/>
      <c r="I27" s="196"/>
      <c r="J27" s="196"/>
      <c r="K27" s="196"/>
      <c r="L27" s="196"/>
    </row>
    <row r="28" spans="1:12">
      <c r="A28" s="196"/>
      <c r="B28" s="196"/>
      <c r="C28" s="196"/>
      <c r="D28" s="196"/>
      <c r="E28" s="196"/>
      <c r="F28" s="196"/>
      <c r="G28" s="196"/>
      <c r="H28" s="196"/>
      <c r="I28" s="196"/>
      <c r="J28" s="196"/>
      <c r="K28" s="196"/>
      <c r="L28" s="196"/>
    </row>
    <row r="29" spans="1:12">
      <c r="A29" s="196"/>
      <c r="B29" s="196"/>
      <c r="C29" s="196"/>
      <c r="D29" s="196"/>
      <c r="E29" s="196"/>
      <c r="F29" s="196"/>
      <c r="G29" s="261"/>
      <c r="H29" s="261"/>
      <c r="I29" s="261"/>
      <c r="J29" s="261"/>
      <c r="K29" s="261"/>
      <c r="L29" s="261"/>
    </row>
    <row r="30" spans="1:12">
      <c r="A30" s="196"/>
      <c r="B30" s="196"/>
      <c r="C30" s="196"/>
      <c r="D30" s="196"/>
      <c r="E30" s="196"/>
      <c r="F30" s="196"/>
      <c r="G30" s="261"/>
      <c r="H30" s="261"/>
      <c r="I30" s="261"/>
      <c r="J30" s="261"/>
      <c r="K30" s="261"/>
      <c r="L30" s="261"/>
    </row>
    <row r="31" spans="1:12">
      <c r="A31" s="196"/>
      <c r="B31" s="196"/>
      <c r="C31" s="196"/>
      <c r="D31" s="196"/>
      <c r="E31" s="196"/>
      <c r="F31" s="196"/>
      <c r="G31" s="261"/>
      <c r="H31" s="261"/>
      <c r="I31" s="261"/>
      <c r="J31" s="261"/>
      <c r="K31" s="261"/>
      <c r="L31" s="261"/>
    </row>
    <row r="32" spans="1:12">
      <c r="A32" s="196"/>
      <c r="B32" s="196"/>
      <c r="C32" s="196"/>
      <c r="D32" s="196"/>
      <c r="E32" s="196"/>
      <c r="F32" s="196"/>
      <c r="G32" s="261"/>
      <c r="H32" s="261"/>
      <c r="I32" s="261"/>
      <c r="J32" s="261"/>
      <c r="K32" s="261"/>
      <c r="L32" s="261"/>
    </row>
    <row r="33" spans="1:12">
      <c r="A33" s="196"/>
      <c r="B33" s="196"/>
      <c r="C33" s="196"/>
      <c r="D33" s="196"/>
      <c r="E33" s="196"/>
      <c r="F33" s="196"/>
      <c r="G33" s="261"/>
      <c r="H33" s="261"/>
      <c r="I33" s="261"/>
      <c r="J33" s="261"/>
      <c r="K33" s="261"/>
      <c r="L33" s="261"/>
    </row>
    <row r="34" spans="1:12">
      <c r="A34" s="196"/>
      <c r="B34" s="196"/>
      <c r="C34" s="196"/>
      <c r="D34" s="196"/>
      <c r="E34" s="196"/>
      <c r="F34" s="196"/>
      <c r="G34" s="261"/>
      <c r="H34" s="261"/>
      <c r="I34" s="261"/>
      <c r="J34" s="261"/>
      <c r="K34" s="261"/>
      <c r="L34" s="261"/>
    </row>
    <row r="35" spans="1:12">
      <c r="A35" s="196"/>
      <c r="B35" s="196"/>
      <c r="C35" s="196"/>
      <c r="D35" s="196"/>
      <c r="E35" s="196"/>
      <c r="F35" s="196"/>
      <c r="G35" s="261"/>
      <c r="H35" s="261"/>
      <c r="I35" s="261"/>
      <c r="J35" s="261"/>
      <c r="K35" s="261"/>
      <c r="L35" s="261"/>
    </row>
    <row r="36" spans="1:12">
      <c r="A36" s="196"/>
      <c r="B36" s="196"/>
      <c r="C36" s="196"/>
      <c r="D36" s="196"/>
      <c r="E36" s="196"/>
      <c r="F36" s="196"/>
      <c r="G36" s="261"/>
      <c r="H36" s="261"/>
      <c r="I36" s="261"/>
      <c r="J36" s="261"/>
      <c r="K36" s="261"/>
      <c r="L36" s="261"/>
    </row>
    <row r="37" spans="1:12">
      <c r="A37" s="196"/>
      <c r="B37" s="196"/>
      <c r="C37" s="196"/>
      <c r="D37" s="196"/>
      <c r="E37" s="196"/>
      <c r="F37" s="196"/>
      <c r="G37" s="261"/>
      <c r="H37" s="261"/>
      <c r="I37" s="261"/>
      <c r="J37" s="261"/>
      <c r="K37" s="261"/>
      <c r="L37" s="261"/>
    </row>
    <row r="38" spans="1:12">
      <c r="A38" s="196"/>
      <c r="B38" s="196"/>
      <c r="C38" s="196"/>
      <c r="D38" s="196"/>
      <c r="E38" s="196"/>
      <c r="F38" s="196"/>
      <c r="G38" s="261"/>
      <c r="H38" s="261"/>
      <c r="I38" s="261"/>
      <c r="J38" s="261"/>
      <c r="K38" s="261"/>
      <c r="L38" s="261"/>
    </row>
    <row r="39" spans="1:12">
      <c r="A39" s="196"/>
      <c r="B39" s="196"/>
      <c r="C39" s="196"/>
      <c r="D39" s="196"/>
      <c r="E39" s="196"/>
      <c r="F39" s="196"/>
    </row>
    <row r="40" spans="1:12">
      <c r="A40" s="196"/>
      <c r="B40" s="196"/>
      <c r="C40" s="196"/>
      <c r="D40" s="196"/>
      <c r="E40" s="196"/>
      <c r="F40" s="196"/>
    </row>
    <row r="41" spans="1:12">
      <c r="A41" s="196"/>
      <c r="B41" s="196"/>
      <c r="C41" s="196"/>
      <c r="D41" s="196"/>
      <c r="E41" s="196"/>
      <c r="F41" s="196"/>
    </row>
    <row r="42" spans="1:12">
      <c r="A42" s="196"/>
      <c r="B42" s="196"/>
      <c r="C42" s="196"/>
      <c r="D42" s="196"/>
      <c r="E42" s="196"/>
      <c r="F42" s="196"/>
    </row>
    <row r="43" spans="1:12">
      <c r="A43" s="196"/>
      <c r="B43" s="196"/>
      <c r="C43" s="196"/>
      <c r="D43" s="196"/>
      <c r="E43" s="196"/>
      <c r="F43" s="196"/>
    </row>
    <row r="44" spans="1:12">
      <c r="A44" s="196"/>
      <c r="B44" s="196"/>
      <c r="C44" s="196"/>
      <c r="D44" s="196"/>
      <c r="E44" s="196"/>
      <c r="F44" s="196"/>
    </row>
    <row r="45" spans="1:12">
      <c r="A45" s="196"/>
      <c r="B45" s="196"/>
      <c r="C45" s="196"/>
      <c r="D45" s="196"/>
      <c r="E45" s="196"/>
      <c r="F45" s="196"/>
    </row>
    <row r="46" spans="1:12">
      <c r="A46" s="196"/>
      <c r="B46" s="196"/>
      <c r="C46" s="196"/>
      <c r="D46" s="196"/>
      <c r="E46" s="196"/>
      <c r="F46" s="196"/>
    </row>
    <row r="47" spans="1:12">
      <c r="A47" s="196"/>
      <c r="B47" s="196"/>
      <c r="C47" s="196"/>
      <c r="D47" s="196"/>
      <c r="E47" s="196"/>
      <c r="F47" s="196"/>
    </row>
    <row r="48" spans="1:12">
      <c r="A48" s="196"/>
      <c r="B48" s="196"/>
      <c r="C48" s="196"/>
      <c r="D48" s="196"/>
      <c r="E48" s="196"/>
      <c r="F48" s="196"/>
    </row>
    <row r="49" spans="1:6">
      <c r="A49" s="196"/>
      <c r="B49" s="196"/>
      <c r="C49" s="196"/>
      <c r="D49" s="196"/>
      <c r="E49" s="196"/>
      <c r="F49" s="196"/>
    </row>
    <row r="50" spans="1:6">
      <c r="A50" s="196"/>
      <c r="B50" s="196"/>
      <c r="C50" s="196"/>
      <c r="D50" s="196"/>
      <c r="E50" s="196"/>
      <c r="F50" s="196"/>
    </row>
    <row r="51" spans="1:6">
      <c r="A51" s="196"/>
      <c r="B51" s="196"/>
      <c r="C51" s="196"/>
      <c r="D51" s="196"/>
      <c r="E51" s="196"/>
      <c r="F51" s="196"/>
    </row>
    <row r="52" spans="1:6">
      <c r="A52" s="196"/>
      <c r="B52" s="196"/>
      <c r="C52" s="196"/>
      <c r="D52" s="196"/>
      <c r="E52" s="196"/>
      <c r="F52" s="196"/>
    </row>
    <row r="53" spans="1:6">
      <c r="A53" s="196"/>
      <c r="B53" s="196"/>
      <c r="C53" s="196"/>
      <c r="D53" s="196"/>
      <c r="E53" s="196"/>
      <c r="F53" s="196"/>
    </row>
    <row r="54" spans="1:6">
      <c r="A54" s="196"/>
      <c r="B54" s="196"/>
      <c r="C54" s="196"/>
      <c r="D54" s="196"/>
      <c r="E54" s="196"/>
      <c r="F54" s="196"/>
    </row>
    <row r="55" spans="1:6">
      <c r="A55" s="196"/>
      <c r="B55" s="196"/>
      <c r="C55" s="196"/>
      <c r="D55" s="196"/>
      <c r="E55" s="196"/>
      <c r="F55" s="196"/>
    </row>
    <row r="56" spans="1:6">
      <c r="A56" s="196"/>
      <c r="B56" s="196"/>
      <c r="C56" s="196"/>
      <c r="D56" s="196"/>
      <c r="E56" s="196"/>
      <c r="F56" s="196"/>
    </row>
    <row r="57" spans="1:6">
      <c r="A57" s="196"/>
      <c r="B57" s="196"/>
      <c r="C57" s="196"/>
      <c r="D57" s="196"/>
      <c r="E57" s="196"/>
      <c r="F57" s="196"/>
    </row>
    <row r="58" spans="1:6">
      <c r="A58" s="196"/>
      <c r="B58" s="196"/>
      <c r="C58" s="196"/>
      <c r="D58" s="196"/>
      <c r="E58" s="196"/>
      <c r="F58" s="196"/>
    </row>
    <row r="59" spans="1:6">
      <c r="A59" s="196"/>
      <c r="B59" s="196"/>
      <c r="C59" s="196"/>
      <c r="D59" s="196"/>
      <c r="E59" s="196"/>
      <c r="F59" s="196"/>
    </row>
    <row r="60" spans="1:6">
      <c r="A60" s="196"/>
      <c r="B60" s="196"/>
      <c r="C60" s="196"/>
      <c r="D60" s="196"/>
      <c r="E60" s="196"/>
      <c r="F60" s="196"/>
    </row>
    <row r="61" spans="1:6">
      <c r="A61" s="196"/>
      <c r="B61" s="196"/>
      <c r="C61" s="196"/>
      <c r="D61" s="196"/>
      <c r="E61" s="196"/>
      <c r="F61" s="196"/>
    </row>
    <row r="62" spans="1:6">
      <c r="A62" s="196"/>
      <c r="B62" s="196"/>
      <c r="C62" s="196"/>
      <c r="D62" s="196"/>
      <c r="E62" s="196"/>
      <c r="F62" s="19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8" orientation="portrait" useFirstPageNumber="1" r:id="rId1"/>
  <headerFooter>
    <oddFooter xml:space="preserve">&amp;L&amp;8______________________________________________________
&amp;"-,Italic"Arion Bank Factbook 31.12.2018&amp;C&amp;8&amp;P&amp;R&amp;8______________________________________________________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3:X252"/>
  <sheetViews>
    <sheetView showGridLines="0" workbookViewId="0">
      <selection activeCell="N26" sqref="N26"/>
    </sheetView>
  </sheetViews>
  <sheetFormatPr defaultColWidth="9.1796875" defaultRowHeight="12"/>
  <cols>
    <col min="1" max="1" width="24.26953125" style="8" customWidth="1"/>
    <col min="2" max="4" width="8.7265625" style="33" customWidth="1"/>
    <col min="5" max="21" width="8.7265625" style="8" customWidth="1"/>
    <col min="22" max="16384" width="9.1796875" style="8"/>
  </cols>
  <sheetData>
    <row r="3" spans="1:24" ht="15" customHeight="1">
      <c r="A3" s="31"/>
      <c r="E3" s="33"/>
      <c r="I3" s="262"/>
      <c r="J3" s="262"/>
      <c r="K3" s="262"/>
      <c r="L3" s="262"/>
      <c r="M3" s="262"/>
      <c r="N3" s="262"/>
      <c r="O3" s="262"/>
      <c r="P3" s="262"/>
      <c r="Q3" s="262"/>
      <c r="R3" s="262"/>
    </row>
    <row r="4" spans="1:24" ht="15" customHeight="1">
      <c r="A4" s="34"/>
      <c r="B4" s="39" t="s">
        <v>66</v>
      </c>
      <c r="C4" s="81" t="s">
        <v>67</v>
      </c>
      <c r="D4" s="81" t="s">
        <v>68</v>
      </c>
      <c r="E4" s="81" t="s">
        <v>69</v>
      </c>
      <c r="F4" s="39" t="s">
        <v>70</v>
      </c>
      <c r="G4" s="39" t="s">
        <v>71</v>
      </c>
      <c r="H4" s="39" t="s">
        <v>113</v>
      </c>
      <c r="I4" s="39" t="s">
        <v>127</v>
      </c>
      <c r="J4" s="39" t="s">
        <v>133</v>
      </c>
      <c r="K4" s="39" t="s">
        <v>158</v>
      </c>
      <c r="L4" s="39" t="s">
        <v>232</v>
      </c>
      <c r="M4" s="39" t="s">
        <v>236</v>
      </c>
      <c r="N4" s="39" t="s">
        <v>263</v>
      </c>
      <c r="O4" s="39" t="s">
        <v>282</v>
      </c>
      <c r="P4" s="39" t="s">
        <v>282</v>
      </c>
      <c r="Q4" s="39"/>
      <c r="R4" s="39"/>
      <c r="S4" s="39"/>
      <c r="T4" s="39"/>
    </row>
    <row r="5" spans="1:24">
      <c r="A5" s="34" t="s">
        <v>128</v>
      </c>
      <c r="B5" s="84" t="e">
        <f>#REF!</f>
        <v>#REF!</v>
      </c>
      <c r="C5" s="84" t="e">
        <f>#REF!</f>
        <v>#REF!</v>
      </c>
      <c r="D5" s="84" t="e">
        <f>#REF!</f>
        <v>#REF!</v>
      </c>
      <c r="E5" s="84" t="e">
        <f>#REF!</f>
        <v>#REF!</v>
      </c>
      <c r="F5" s="84" t="e">
        <f>#REF!</f>
        <v>#REF!</v>
      </c>
      <c r="G5" s="84" t="e">
        <f>#REF!</f>
        <v>#REF!</v>
      </c>
      <c r="H5" s="84" t="e">
        <f>#REF!</f>
        <v>#REF!</v>
      </c>
      <c r="I5" s="84" t="e">
        <f>#REF!</f>
        <v>#REF!</v>
      </c>
      <c r="J5" s="84" t="e">
        <f>#REF!</f>
        <v>#REF!</v>
      </c>
      <c r="K5" s="84" t="e">
        <f>#REF!</f>
        <v>#REF!</v>
      </c>
      <c r="L5" s="84" t="e">
        <f>#REF!</f>
        <v>#REF!</v>
      </c>
      <c r="M5" s="84" t="e">
        <f>#REF!</f>
        <v>#REF!</v>
      </c>
      <c r="N5" s="84" t="e">
        <f>#REF!</f>
        <v>#REF!</v>
      </c>
      <c r="O5" s="84"/>
      <c r="P5" s="46"/>
      <c r="Q5" s="46"/>
      <c r="R5" s="46"/>
      <c r="S5" s="46"/>
      <c r="T5" s="80"/>
    </row>
    <row r="6" spans="1:24">
      <c r="A6" s="34" t="s">
        <v>129</v>
      </c>
      <c r="B6" s="84" t="e">
        <f>#REF!</f>
        <v>#REF!</v>
      </c>
      <c r="C6" s="84" t="e">
        <f>#REF!</f>
        <v>#REF!</v>
      </c>
      <c r="D6" s="84" t="e">
        <f>#REF!</f>
        <v>#REF!</v>
      </c>
      <c r="E6" s="84" t="e">
        <f>#REF!</f>
        <v>#REF!</v>
      </c>
      <c r="F6" s="84" t="e">
        <f>#REF!</f>
        <v>#REF!</v>
      </c>
      <c r="G6" s="84" t="e">
        <f>#REF!</f>
        <v>#REF!</v>
      </c>
      <c r="H6" s="84" t="e">
        <f>#REF!</f>
        <v>#REF!</v>
      </c>
      <c r="I6" s="84" t="e">
        <f>#REF!</f>
        <v>#REF!</v>
      </c>
      <c r="J6" s="84" t="e">
        <f>#REF!</f>
        <v>#REF!</v>
      </c>
      <c r="K6" s="84" t="e">
        <f>#REF!</f>
        <v>#REF!</v>
      </c>
      <c r="L6" s="84" t="e">
        <f>#REF!</f>
        <v>#REF!</v>
      </c>
      <c r="M6" s="84" t="e">
        <f>#REF!</f>
        <v>#REF!</v>
      </c>
      <c r="N6" s="84" t="e">
        <f>#REF!</f>
        <v>#REF!</v>
      </c>
      <c r="O6" s="84"/>
      <c r="P6" s="46"/>
      <c r="Q6" s="46"/>
      <c r="R6" s="46"/>
      <c r="S6" s="46"/>
      <c r="T6" s="80"/>
    </row>
    <row r="7" spans="1:24">
      <c r="A7" s="34" t="s">
        <v>9</v>
      </c>
      <c r="B7" s="84" t="e">
        <f>#REF!</f>
        <v>#REF!</v>
      </c>
      <c r="C7" s="84" t="e">
        <f>#REF!</f>
        <v>#REF!</v>
      </c>
      <c r="D7" s="84" t="e">
        <f>#REF!</f>
        <v>#REF!</v>
      </c>
      <c r="E7" s="84" t="e">
        <f>#REF!</f>
        <v>#REF!</v>
      </c>
      <c r="F7" s="84" t="e">
        <f>#REF!</f>
        <v>#REF!</v>
      </c>
      <c r="G7" s="84" t="e">
        <f>#REF!</f>
        <v>#REF!</v>
      </c>
      <c r="H7" s="84" t="e">
        <f>#REF!</f>
        <v>#REF!</v>
      </c>
      <c r="I7" s="84" t="e">
        <f>#REF!</f>
        <v>#REF!</v>
      </c>
      <c r="J7" s="84" t="e">
        <f>#REF!</f>
        <v>#REF!</v>
      </c>
      <c r="K7" s="84" t="e">
        <f>#REF!</f>
        <v>#REF!</v>
      </c>
      <c r="L7" s="84" t="e">
        <f>#REF!</f>
        <v>#REF!</v>
      </c>
      <c r="M7" s="84" t="e">
        <f>#REF!</f>
        <v>#REF!</v>
      </c>
      <c r="N7" s="84" t="e">
        <f>#REF!</f>
        <v>#REF!</v>
      </c>
      <c r="O7" s="84"/>
      <c r="P7" s="46"/>
      <c r="Q7" s="46"/>
      <c r="R7" s="46"/>
      <c r="S7" s="46"/>
    </row>
    <row r="8" spans="1:24">
      <c r="A8" s="34"/>
      <c r="C8" s="38"/>
      <c r="E8" s="37"/>
      <c r="F8" s="33"/>
      <c r="G8" s="37"/>
      <c r="H8" s="37"/>
      <c r="I8" s="84"/>
      <c r="J8" s="33"/>
      <c r="K8" s="33"/>
      <c r="L8" s="33"/>
      <c r="M8" s="33"/>
      <c r="N8" s="33"/>
      <c r="O8" s="33"/>
    </row>
    <row r="9" spans="1:24">
      <c r="A9" s="34" t="s">
        <v>130</v>
      </c>
      <c r="B9" s="84" t="e">
        <f>#REF!</f>
        <v>#REF!</v>
      </c>
      <c r="C9" s="84" t="e">
        <f>#REF!</f>
        <v>#REF!</v>
      </c>
      <c r="D9" s="84" t="e">
        <f>#REF!</f>
        <v>#REF!</v>
      </c>
      <c r="E9" s="84" t="e">
        <f>#REF!</f>
        <v>#REF!</v>
      </c>
      <c r="F9" s="84" t="e">
        <f>#REF!</f>
        <v>#REF!</v>
      </c>
      <c r="G9" s="84" t="e">
        <f>#REF!</f>
        <v>#REF!</v>
      </c>
      <c r="H9" s="84" t="e">
        <f>#REF!</f>
        <v>#REF!</v>
      </c>
      <c r="I9" s="84" t="e">
        <f>#REF!</f>
        <v>#REF!</v>
      </c>
      <c r="J9" s="84" t="e">
        <f>#REF!</f>
        <v>#REF!</v>
      </c>
      <c r="K9" s="84" t="e">
        <f>#REF!</f>
        <v>#REF!</v>
      </c>
      <c r="L9" s="84" t="e">
        <f>#REF!</f>
        <v>#REF!</v>
      </c>
      <c r="M9" s="84" t="e">
        <f>#REF!</f>
        <v>#REF!</v>
      </c>
      <c r="N9" s="84" t="e">
        <f>#REF!</f>
        <v>#REF!</v>
      </c>
      <c r="O9" s="84"/>
      <c r="P9" s="10"/>
      <c r="Q9" s="10"/>
      <c r="R9" s="10"/>
    </row>
    <row r="10" spans="1:24">
      <c r="A10" s="34" t="s">
        <v>131</v>
      </c>
      <c r="B10" s="84" t="e">
        <f>#REF!</f>
        <v>#REF!</v>
      </c>
      <c r="C10" s="84" t="e">
        <f>#REF!</f>
        <v>#REF!</v>
      </c>
      <c r="D10" s="84" t="e">
        <f>#REF!</f>
        <v>#REF!</v>
      </c>
      <c r="E10" s="84" t="e">
        <f>#REF!</f>
        <v>#REF!</v>
      </c>
      <c r="F10" s="84" t="e">
        <f>#REF!</f>
        <v>#REF!</v>
      </c>
      <c r="G10" s="84" t="e">
        <f>#REF!</f>
        <v>#REF!</v>
      </c>
      <c r="H10" s="84" t="e">
        <f>#REF!</f>
        <v>#REF!</v>
      </c>
      <c r="I10" s="84" t="e">
        <f>#REF!</f>
        <v>#REF!</v>
      </c>
      <c r="J10" s="84" t="e">
        <f>#REF!</f>
        <v>#REF!</v>
      </c>
      <c r="K10" s="84" t="e">
        <f>#REF!</f>
        <v>#REF!</v>
      </c>
      <c r="L10" s="84" t="e">
        <f>#REF!</f>
        <v>#REF!</v>
      </c>
      <c r="M10" s="84" t="e">
        <f>#REF!</f>
        <v>#REF!</v>
      </c>
      <c r="N10" s="84" t="e">
        <f>#REF!</f>
        <v>#REF!</v>
      </c>
      <c r="O10" s="84"/>
      <c r="P10" s="10"/>
      <c r="Q10" s="10"/>
      <c r="R10" s="10"/>
      <c r="X10" s="36"/>
    </row>
    <row r="11" spans="1:24">
      <c r="A11" s="34"/>
      <c r="C11" s="38"/>
      <c r="E11" s="37"/>
      <c r="F11" s="33"/>
      <c r="G11" s="37"/>
      <c r="H11" s="37"/>
      <c r="I11" s="33"/>
      <c r="J11" s="33"/>
      <c r="K11" s="33"/>
      <c r="L11" s="33"/>
      <c r="M11" s="33"/>
      <c r="N11" s="33"/>
      <c r="O11" s="33"/>
      <c r="X11" s="36"/>
    </row>
    <row r="12" spans="1:24">
      <c r="A12" s="34" t="s">
        <v>78</v>
      </c>
      <c r="B12" s="83" t="e">
        <f>#REF!</f>
        <v>#REF!</v>
      </c>
      <c r="C12" s="83" t="e">
        <f>#REF!</f>
        <v>#REF!</v>
      </c>
      <c r="D12" s="83" t="e">
        <f>#REF!</f>
        <v>#REF!</v>
      </c>
      <c r="E12" s="83" t="e">
        <f>#REF!</f>
        <v>#REF!</v>
      </c>
      <c r="F12" s="83" t="e">
        <f>#REF!</f>
        <v>#REF!</v>
      </c>
      <c r="G12" s="83" t="e">
        <f>#REF!</f>
        <v>#REF!</v>
      </c>
      <c r="H12" s="83" t="e">
        <f>#REF!</f>
        <v>#REF!</v>
      </c>
      <c r="I12" s="83" t="e">
        <f>#REF!</f>
        <v>#REF!</v>
      </c>
      <c r="J12" s="83" t="e">
        <f>#REF!</f>
        <v>#REF!</v>
      </c>
      <c r="K12" s="83" t="e">
        <f>#REF!</f>
        <v>#REF!</v>
      </c>
      <c r="L12" s="83" t="e">
        <f>#REF!</f>
        <v>#REF!</v>
      </c>
      <c r="M12" s="83" t="e">
        <f>#REF!</f>
        <v>#REF!</v>
      </c>
      <c r="N12" s="83" t="e">
        <f>#REF!</f>
        <v>#REF!</v>
      </c>
      <c r="O12" s="83"/>
    </row>
    <row r="13" spans="1:24">
      <c r="B13" s="38"/>
      <c r="C13" s="38"/>
      <c r="E13" s="37"/>
      <c r="F13" s="38"/>
      <c r="G13" s="37"/>
      <c r="H13" s="37"/>
      <c r="I13" s="33"/>
      <c r="J13" s="33"/>
      <c r="K13" s="33"/>
      <c r="L13" s="33"/>
      <c r="M13" s="33"/>
      <c r="N13" s="33"/>
      <c r="O13" s="33"/>
      <c r="X13" s="36"/>
    </row>
    <row r="14" spans="1:24">
      <c r="A14" s="34" t="s">
        <v>79</v>
      </c>
      <c r="B14" s="84" t="e">
        <f>#REF!</f>
        <v>#REF!</v>
      </c>
      <c r="C14" s="84" t="e">
        <f>#REF!</f>
        <v>#REF!</v>
      </c>
      <c r="D14" s="84" t="e">
        <f>#REF!</f>
        <v>#REF!</v>
      </c>
      <c r="E14" s="84" t="e">
        <f>#REF!</f>
        <v>#REF!</v>
      </c>
      <c r="F14" s="84" t="e">
        <f>#REF!</f>
        <v>#REF!</v>
      </c>
      <c r="G14" s="84" t="e">
        <f>#REF!</f>
        <v>#REF!</v>
      </c>
      <c r="H14" s="84" t="e">
        <f>#REF!</f>
        <v>#REF!</v>
      </c>
      <c r="I14" s="84" t="e">
        <f>#REF!</f>
        <v>#REF!</v>
      </c>
      <c r="J14" s="84" t="e">
        <f>#REF!</f>
        <v>#REF!</v>
      </c>
      <c r="K14" s="84" t="e">
        <f>#REF!</f>
        <v>#REF!</v>
      </c>
      <c r="L14" s="84" t="e">
        <f>#REF!</f>
        <v>#REF!</v>
      </c>
      <c r="M14" s="84" t="e">
        <f>#REF!</f>
        <v>#REF!</v>
      </c>
      <c r="N14" s="84" t="e">
        <f>#REF!</f>
        <v>#REF!</v>
      </c>
      <c r="O14" s="84"/>
      <c r="X14" s="36"/>
    </row>
    <row r="15" spans="1:24">
      <c r="A15" s="34" t="s">
        <v>145</v>
      </c>
      <c r="B15" s="84" t="e">
        <f>#REF!</f>
        <v>#REF!</v>
      </c>
      <c r="C15" s="84" t="e">
        <f>#REF!</f>
        <v>#REF!</v>
      </c>
      <c r="D15" s="84" t="e">
        <f>#REF!</f>
        <v>#REF!</v>
      </c>
      <c r="E15" s="84" t="e">
        <f>#REF!</f>
        <v>#REF!</v>
      </c>
      <c r="F15" s="84" t="e">
        <f>#REF!</f>
        <v>#REF!</v>
      </c>
      <c r="G15" s="84" t="e">
        <f>#REF!</f>
        <v>#REF!</v>
      </c>
      <c r="H15" s="84" t="e">
        <f>#REF!</f>
        <v>#REF!</v>
      </c>
      <c r="I15" s="84" t="e">
        <f>#REF!</f>
        <v>#REF!</v>
      </c>
      <c r="J15" s="84" t="e">
        <f>#REF!</f>
        <v>#REF!</v>
      </c>
      <c r="K15" s="84" t="e">
        <f>#REF!</f>
        <v>#REF!</v>
      </c>
      <c r="L15" s="84" t="e">
        <f>#REF!</f>
        <v>#REF!</v>
      </c>
      <c r="M15" s="84" t="e">
        <f>#REF!</f>
        <v>#REF!</v>
      </c>
      <c r="N15" s="84" t="e">
        <f>#REF!</f>
        <v>#REF!</v>
      </c>
      <c r="O15" s="84"/>
      <c r="X15" s="36"/>
    </row>
    <row r="16" spans="1:24">
      <c r="A16" s="34"/>
      <c r="C16" s="38"/>
      <c r="E16" s="37"/>
      <c r="F16" s="38"/>
      <c r="G16" s="37"/>
      <c r="H16" s="37"/>
      <c r="I16" s="33"/>
      <c r="J16" s="33"/>
      <c r="K16" s="33"/>
      <c r="L16" s="33"/>
      <c r="M16" s="33"/>
      <c r="N16" s="33"/>
      <c r="O16" s="33"/>
      <c r="X16" s="36"/>
    </row>
    <row r="17" spans="1:24">
      <c r="A17" s="34" t="s">
        <v>63</v>
      </c>
      <c r="B17" s="84" t="e">
        <f>#REF!</f>
        <v>#REF!</v>
      </c>
      <c r="C17" s="84" t="e">
        <f>#REF!</f>
        <v>#REF!</v>
      </c>
      <c r="D17" s="84" t="e">
        <f>#REF!</f>
        <v>#REF!</v>
      </c>
      <c r="E17" s="84" t="e">
        <f>#REF!</f>
        <v>#REF!</v>
      </c>
      <c r="F17" s="84" t="e">
        <f>#REF!</f>
        <v>#REF!</v>
      </c>
      <c r="G17" s="84" t="e">
        <f>#REF!</f>
        <v>#REF!</v>
      </c>
      <c r="H17" s="84" t="e">
        <f>#REF!</f>
        <v>#REF!</v>
      </c>
      <c r="I17" s="84" t="e">
        <f>#REF!</f>
        <v>#REF!</v>
      </c>
      <c r="J17" s="84" t="e">
        <f>#REF!</f>
        <v>#REF!</v>
      </c>
      <c r="K17" s="84" t="e">
        <f>#REF!</f>
        <v>#REF!</v>
      </c>
      <c r="L17" s="84" t="e">
        <f>#REF!</f>
        <v>#REF!</v>
      </c>
      <c r="M17" s="84" t="e">
        <f>#REF!</f>
        <v>#REF!</v>
      </c>
      <c r="N17" s="84" t="e">
        <f>#REF!</f>
        <v>#REF!</v>
      </c>
      <c r="O17" s="84"/>
    </row>
    <row r="18" spans="1:24">
      <c r="A18" s="34" t="s">
        <v>37</v>
      </c>
      <c r="B18" s="84" t="e">
        <f>#REF!</f>
        <v>#REF!</v>
      </c>
      <c r="C18" s="84" t="e">
        <f>#REF!</f>
        <v>#REF!</v>
      </c>
      <c r="D18" s="84" t="e">
        <f>#REF!</f>
        <v>#REF!</v>
      </c>
      <c r="E18" s="84" t="e">
        <f>#REF!</f>
        <v>#REF!</v>
      </c>
      <c r="F18" s="84" t="e">
        <f>#REF!</f>
        <v>#REF!</v>
      </c>
      <c r="G18" s="84" t="e">
        <f>#REF!</f>
        <v>#REF!</v>
      </c>
      <c r="H18" s="84" t="e">
        <f>#REF!</f>
        <v>#REF!</v>
      </c>
      <c r="I18" s="84" t="e">
        <f>#REF!</f>
        <v>#REF!</v>
      </c>
      <c r="J18" s="84" t="e">
        <f>#REF!</f>
        <v>#REF!</v>
      </c>
      <c r="K18" s="84" t="e">
        <f>#REF!</f>
        <v>#REF!</v>
      </c>
      <c r="L18" s="84" t="e">
        <f>#REF!</f>
        <v>#REF!</v>
      </c>
      <c r="M18" s="84" t="e">
        <f>#REF!</f>
        <v>#REF!</v>
      </c>
      <c r="N18" s="84" t="e">
        <f>#REF!</f>
        <v>#REF!</v>
      </c>
      <c r="O18" s="84"/>
    </row>
    <row r="19" spans="1:24">
      <c r="A19" s="8" t="s">
        <v>43</v>
      </c>
      <c r="B19" s="83" t="e">
        <f>#REF!</f>
        <v>#REF!</v>
      </c>
      <c r="C19" s="83" t="e">
        <f>#REF!</f>
        <v>#REF!</v>
      </c>
      <c r="D19" s="83" t="e">
        <f>#REF!</f>
        <v>#REF!</v>
      </c>
      <c r="E19" s="83" t="e">
        <f>#REF!</f>
        <v>#REF!</v>
      </c>
      <c r="F19" s="83" t="e">
        <f>#REF!</f>
        <v>#REF!</v>
      </c>
      <c r="G19" s="83" t="e">
        <f>#REF!</f>
        <v>#REF!</v>
      </c>
      <c r="H19" s="83" t="e">
        <f>#REF!</f>
        <v>#REF!</v>
      </c>
      <c r="I19" s="83" t="e">
        <f>#REF!</f>
        <v>#REF!</v>
      </c>
      <c r="J19" s="83" t="e">
        <f>#REF!</f>
        <v>#REF!</v>
      </c>
      <c r="K19" s="83" t="e">
        <f>#REF!</f>
        <v>#REF!</v>
      </c>
      <c r="L19" s="83" t="e">
        <f>#REF!</f>
        <v>#REF!</v>
      </c>
      <c r="M19" s="83" t="e">
        <f>#REF!</f>
        <v>#REF!</v>
      </c>
      <c r="N19" s="83" t="e">
        <f>#REF!</f>
        <v>#REF!</v>
      </c>
      <c r="O19" s="83"/>
    </row>
    <row r="20" spans="1:24">
      <c r="A20" s="8" t="s">
        <v>242</v>
      </c>
      <c r="B20" s="83" t="e">
        <f>#REF!</f>
        <v>#REF!</v>
      </c>
      <c r="C20" s="83" t="e">
        <f>#REF!</f>
        <v>#REF!</v>
      </c>
      <c r="D20" s="83" t="e">
        <f>#REF!</f>
        <v>#REF!</v>
      </c>
      <c r="E20" s="83" t="e">
        <f>#REF!</f>
        <v>#REF!</v>
      </c>
      <c r="F20" s="83" t="e">
        <f>#REF!</f>
        <v>#REF!</v>
      </c>
      <c r="G20" s="83" t="e">
        <f>#REF!</f>
        <v>#REF!</v>
      </c>
      <c r="H20" s="83" t="e">
        <f>#REF!</f>
        <v>#REF!</v>
      </c>
      <c r="I20" s="83" t="e">
        <f>#REF!</f>
        <v>#REF!</v>
      </c>
      <c r="J20" s="83" t="e">
        <f>#REF!</f>
        <v>#REF!</v>
      </c>
      <c r="K20" s="83" t="e">
        <f>#REF!</f>
        <v>#REF!</v>
      </c>
      <c r="L20" s="83" t="e">
        <f>#REF!</f>
        <v>#REF!</v>
      </c>
      <c r="M20" s="83" t="e">
        <f>#REF!</f>
        <v>#REF!</v>
      </c>
      <c r="N20" s="83" t="e">
        <f>#REF!</f>
        <v>#REF!</v>
      </c>
    </row>
    <row r="21" spans="1:24">
      <c r="A21" s="11" t="s">
        <v>152</v>
      </c>
      <c r="E21" s="33"/>
      <c r="F21" s="33"/>
      <c r="G21" s="37"/>
      <c r="H21" s="37"/>
      <c r="I21" s="84"/>
      <c r="J21" s="33"/>
    </row>
    <row r="22" spans="1:24">
      <c r="A22" s="8" t="s">
        <v>146</v>
      </c>
      <c r="C22" s="85">
        <f>'LB_Q old'!D121</f>
        <v>198451</v>
      </c>
      <c r="D22" s="85">
        <f>'LB_Q old'!E121</f>
        <v>199339.59742699997</v>
      </c>
      <c r="E22" s="85">
        <f>'LB_Q old'!F121</f>
        <v>165270</v>
      </c>
      <c r="F22" s="85">
        <f>'LB_Q old'!G121</f>
        <v>66799</v>
      </c>
      <c r="G22" s="85">
        <f>'LB_Q old'!H121</f>
        <v>63982</v>
      </c>
      <c r="H22" s="85">
        <f>'LB_Q old'!I121</f>
        <v>72304</v>
      </c>
      <c r="I22" s="85">
        <f>'LB_Q old'!J121</f>
        <v>68693</v>
      </c>
      <c r="J22" s="85">
        <f>'LB_Q old'!K121</f>
        <v>66619</v>
      </c>
      <c r="K22" s="85">
        <f>'LB_Q old'!L121</f>
        <v>49997</v>
      </c>
      <c r="L22" s="85">
        <f>'LB_Q old'!M121</f>
        <v>38564</v>
      </c>
      <c r="M22" s="85">
        <f>'LB_Q old'!N121</f>
        <v>31555</v>
      </c>
      <c r="N22" s="85">
        <f>'LB_Q old'!O121</f>
        <v>27866</v>
      </c>
      <c r="O22" s="85"/>
      <c r="X22" s="36"/>
    </row>
    <row r="23" spans="1:24">
      <c r="A23" s="8" t="s">
        <v>147</v>
      </c>
      <c r="C23" s="85">
        <f>'LB_Q old'!D122</f>
        <v>44239</v>
      </c>
      <c r="D23" s="85">
        <f>'LB_Q old'!E122</f>
        <v>30579.656693361667</v>
      </c>
      <c r="E23" s="85">
        <f>'LB_Q old'!F122</f>
        <v>24789</v>
      </c>
      <c r="F23" s="85">
        <f>'LB_Q old'!G122</f>
        <v>19652</v>
      </c>
      <c r="G23" s="85">
        <f>'LB_Q old'!H122</f>
        <v>24684</v>
      </c>
      <c r="H23" s="85">
        <f>'LB_Q old'!I122</f>
        <v>24112</v>
      </c>
      <c r="I23" s="85">
        <f>'LB_Q old'!J122</f>
        <v>21061</v>
      </c>
      <c r="J23" s="85">
        <f>'LB_Q old'!K122</f>
        <v>17271</v>
      </c>
      <c r="K23" s="85">
        <f>'LB_Q old'!L122</f>
        <v>20574.054725999998</v>
      </c>
      <c r="L23" s="85">
        <f>'LB_Q old'!M122</f>
        <v>18949</v>
      </c>
      <c r="M23" s="85">
        <f>'LB_Q old'!N122</f>
        <v>16747</v>
      </c>
      <c r="N23" s="85">
        <f>'LB_Q old'!O122</f>
        <v>19360.249524309998</v>
      </c>
      <c r="O23" s="85"/>
    </row>
    <row r="24" spans="1:24">
      <c r="A24" s="11" t="s">
        <v>27</v>
      </c>
      <c r="B24" s="66">
        <f>SUM(B22:B23)</f>
        <v>0</v>
      </c>
      <c r="C24" s="66">
        <f t="shared" ref="C24:N24" si="0">SUM(C22:C23)</f>
        <v>242690</v>
      </c>
      <c r="D24" s="66">
        <f t="shared" si="0"/>
        <v>229919.25412036164</v>
      </c>
      <c r="E24" s="66">
        <f t="shared" si="0"/>
        <v>190059</v>
      </c>
      <c r="F24" s="66">
        <f t="shared" si="0"/>
        <v>86451</v>
      </c>
      <c r="G24" s="66">
        <f t="shared" si="0"/>
        <v>88666</v>
      </c>
      <c r="H24" s="66">
        <f t="shared" si="0"/>
        <v>96416</v>
      </c>
      <c r="I24" s="66">
        <f t="shared" si="0"/>
        <v>89754</v>
      </c>
      <c r="J24" s="66">
        <f t="shared" si="0"/>
        <v>83890</v>
      </c>
      <c r="K24" s="66">
        <f t="shared" si="0"/>
        <v>70571.054726000002</v>
      </c>
      <c r="L24" s="66">
        <f t="shared" si="0"/>
        <v>57513</v>
      </c>
      <c r="M24" s="66">
        <f>SUM(M22:M23)</f>
        <v>48302</v>
      </c>
      <c r="N24" s="66">
        <f t="shared" si="0"/>
        <v>47226.249524309998</v>
      </c>
      <c r="O24" s="66"/>
    </row>
    <row r="25" spans="1:24">
      <c r="A25" s="8" t="s">
        <v>148</v>
      </c>
      <c r="B25" s="86" t="e">
        <f>#REF!</f>
        <v>#REF!</v>
      </c>
      <c r="C25" s="86" t="e">
        <f>#REF!</f>
        <v>#REF!</v>
      </c>
      <c r="D25" s="86" t="e">
        <f>#REF!</f>
        <v>#REF!</v>
      </c>
      <c r="E25" s="86" t="e">
        <f>#REF!</f>
        <v>#REF!</v>
      </c>
      <c r="F25" s="86" t="e">
        <f>#REF!</f>
        <v>#REF!</v>
      </c>
      <c r="G25" s="86" t="e">
        <f>#REF!</f>
        <v>#REF!</v>
      </c>
      <c r="H25" s="86" t="e">
        <f>#REF!</f>
        <v>#REF!</v>
      </c>
      <c r="I25" s="86" t="e">
        <f>#REF!</f>
        <v>#REF!</v>
      </c>
      <c r="J25" s="86" t="e">
        <f>#REF!</f>
        <v>#REF!</v>
      </c>
      <c r="K25" s="86" t="e">
        <f>#REF!</f>
        <v>#REF!</v>
      </c>
      <c r="L25" s="86" t="e">
        <f>#REF!</f>
        <v>#REF!</v>
      </c>
      <c r="M25" s="86" t="e">
        <f>#REF!</f>
        <v>#REF!</v>
      </c>
      <c r="N25" s="86" t="e">
        <f>#REF!</f>
        <v>#REF!</v>
      </c>
      <c r="O25" s="86"/>
    </row>
    <row r="26" spans="1:24">
      <c r="A26" s="82" t="s">
        <v>30</v>
      </c>
      <c r="B26" s="87" t="e">
        <f t="shared" ref="B26:G26" si="1">B24/B25</f>
        <v>#REF!</v>
      </c>
      <c r="C26" s="87" t="e">
        <f t="shared" si="1"/>
        <v>#REF!</v>
      </c>
      <c r="D26" s="87" t="e">
        <f t="shared" si="1"/>
        <v>#REF!</v>
      </c>
      <c r="E26" s="87" t="e">
        <f t="shared" si="1"/>
        <v>#REF!</v>
      </c>
      <c r="F26" s="87" t="e">
        <f t="shared" si="1"/>
        <v>#REF!</v>
      </c>
      <c r="G26" s="87" t="e">
        <f t="shared" si="1"/>
        <v>#REF!</v>
      </c>
      <c r="H26" s="87" t="e">
        <f>H24/H25</f>
        <v>#REF!</v>
      </c>
      <c r="I26" s="87" t="e">
        <f t="shared" ref="I26:N26" si="2">I24/I25</f>
        <v>#REF!</v>
      </c>
      <c r="J26" s="87" t="e">
        <f t="shared" si="2"/>
        <v>#REF!</v>
      </c>
      <c r="K26" s="87" t="e">
        <f t="shared" si="2"/>
        <v>#REF!</v>
      </c>
      <c r="L26" s="87" t="e">
        <f t="shared" si="2"/>
        <v>#REF!</v>
      </c>
      <c r="M26" s="87" t="e">
        <f>M24/M25</f>
        <v>#REF!</v>
      </c>
      <c r="N26" s="87" t="e">
        <f t="shared" si="2"/>
        <v>#REF!</v>
      </c>
      <c r="O26" s="87"/>
    </row>
    <row r="27" spans="1:24">
      <c r="A27" s="8" t="s">
        <v>235</v>
      </c>
      <c r="B27" s="8"/>
      <c r="C27" s="10" t="e">
        <f>+C23/C25</f>
        <v>#REF!</v>
      </c>
      <c r="D27" s="10" t="e">
        <f t="shared" ref="D27:N27" si="3">+D23/D25</f>
        <v>#REF!</v>
      </c>
      <c r="E27" s="10" t="e">
        <f t="shared" si="3"/>
        <v>#REF!</v>
      </c>
      <c r="F27" s="10" t="e">
        <f t="shared" si="3"/>
        <v>#REF!</v>
      </c>
      <c r="G27" s="10" t="e">
        <f t="shared" si="3"/>
        <v>#REF!</v>
      </c>
      <c r="H27" s="10" t="e">
        <f t="shared" si="3"/>
        <v>#REF!</v>
      </c>
      <c r="I27" s="10" t="e">
        <f t="shared" si="3"/>
        <v>#REF!</v>
      </c>
      <c r="J27" s="10" t="e">
        <f t="shared" si="3"/>
        <v>#REF!</v>
      </c>
      <c r="K27" s="10" t="e">
        <f t="shared" si="3"/>
        <v>#REF!</v>
      </c>
      <c r="L27" s="10" t="e">
        <f t="shared" si="3"/>
        <v>#REF!</v>
      </c>
      <c r="M27" s="10" t="e">
        <f>+M23/M25</f>
        <v>#REF!</v>
      </c>
      <c r="N27" s="10" t="e">
        <f t="shared" si="3"/>
        <v>#REF!</v>
      </c>
      <c r="O27" s="10"/>
      <c r="X27" s="36"/>
    </row>
    <row r="28" spans="1:24">
      <c r="A28" s="11" t="s">
        <v>151</v>
      </c>
      <c r="F28" s="34"/>
      <c r="G28" s="35"/>
      <c r="H28" s="35"/>
      <c r="X28" s="36"/>
    </row>
    <row r="29" spans="1:24">
      <c r="A29" s="34" t="s">
        <v>149</v>
      </c>
      <c r="B29" s="86"/>
      <c r="C29" s="86">
        <v>241929</v>
      </c>
      <c r="D29" s="86"/>
      <c r="E29" s="86"/>
      <c r="F29" s="86"/>
      <c r="G29" s="86">
        <v>110758</v>
      </c>
      <c r="H29" s="86">
        <v>117875</v>
      </c>
      <c r="I29" s="86">
        <v>120668</v>
      </c>
      <c r="J29" s="86">
        <v>122011</v>
      </c>
      <c r="X29" s="36"/>
    </row>
    <row r="30" spans="1:24">
      <c r="A30" s="82" t="s">
        <v>150</v>
      </c>
      <c r="B30" s="86">
        <f>'LB_Q old'!I4+'LB_Q old'!I8+'LB_Q old'!I9</f>
        <v>474952</v>
      </c>
      <c r="C30" s="86">
        <f>'LB_Q old'!J4+'LB_Q old'!J8+'LB_Q old'!J9</f>
        <v>493062</v>
      </c>
      <c r="D30" s="86">
        <f>'LB_Q old'!K4+'LB_Q old'!K8+'LB_Q old'!K9</f>
        <v>469907</v>
      </c>
      <c r="E30" s="86">
        <f>'LB_Q old'!L4+'LB_Q old'!L8+'LB_Q old'!L9</f>
        <v>488406</v>
      </c>
      <c r="F30" s="86">
        <f>'LB_Q old'!M4+'LB_Q old'!M8+'LB_Q old'!M9</f>
        <v>487316</v>
      </c>
      <c r="G30" s="86">
        <f>'LB_Q old'!N4+'LB_Q old'!N8+'LB_Q old'!N9</f>
        <v>617839</v>
      </c>
      <c r="H30" s="86">
        <f>'LB_Q old'!O4+'LB_Q old'!O8+'LB_Q old'!O9</f>
        <v>636890</v>
      </c>
      <c r="I30" s="86">
        <f>'LB_Q old'!P4+'LB_Q old'!P8+'LB_Q old'!P9</f>
        <v>636038</v>
      </c>
      <c r="J30" s="86">
        <f>'LB_Q old'!R4+'LB_Q old'!R8+'LB_Q old'!R9</f>
        <v>626391</v>
      </c>
    </row>
    <row r="31" spans="1:24">
      <c r="A31" s="82" t="s">
        <v>30</v>
      </c>
      <c r="B31" s="87">
        <f t="shared" ref="B31:J31" si="4">B29/B30</f>
        <v>0</v>
      </c>
      <c r="C31" s="87">
        <f t="shared" si="4"/>
        <v>0.4906664881901262</v>
      </c>
      <c r="D31" s="87">
        <f t="shared" si="4"/>
        <v>0</v>
      </c>
      <c r="E31" s="87">
        <f t="shared" si="4"/>
        <v>0</v>
      </c>
      <c r="F31" s="87">
        <f t="shared" si="4"/>
        <v>0</v>
      </c>
      <c r="G31" s="87">
        <f t="shared" si="4"/>
        <v>0.17926676690853119</v>
      </c>
      <c r="H31" s="87">
        <f t="shared" si="4"/>
        <v>0.18507905603793434</v>
      </c>
      <c r="I31" s="87">
        <f t="shared" si="4"/>
        <v>0.18971822438281991</v>
      </c>
      <c r="J31" s="87">
        <f t="shared" si="4"/>
        <v>0.19478408853256193</v>
      </c>
    </row>
    <row r="32" spans="1:24">
      <c r="F32" s="31"/>
      <c r="G32" s="35"/>
      <c r="H32" s="35"/>
    </row>
    <row r="33" spans="1:24">
      <c r="A33" s="34"/>
      <c r="F33" s="31"/>
      <c r="G33" s="35"/>
      <c r="H33" s="35"/>
    </row>
    <row r="34" spans="1:24">
      <c r="A34" s="34"/>
      <c r="F34" s="31"/>
      <c r="G34" s="35"/>
      <c r="H34" s="35"/>
    </row>
    <row r="35" spans="1:24">
      <c r="A35" s="34"/>
      <c r="F35" s="31"/>
      <c r="G35" s="35"/>
      <c r="H35" s="35"/>
      <c r="I35" s="10"/>
    </row>
    <row r="36" spans="1:24">
      <c r="A36" s="34"/>
      <c r="F36" s="31"/>
      <c r="G36" s="35"/>
      <c r="H36" s="35"/>
    </row>
    <row r="37" spans="1:24">
      <c r="A37" s="34"/>
      <c r="B37" s="39" t="str">
        <f t="shared" ref="B37:O37" si="5">+B4</f>
        <v>Q3 10</v>
      </c>
      <c r="C37" s="39" t="str">
        <f t="shared" si="5"/>
        <v>Q4 10</v>
      </c>
      <c r="D37" s="39" t="str">
        <f t="shared" si="5"/>
        <v>Q1 11</v>
      </c>
      <c r="E37" s="39" t="str">
        <f t="shared" si="5"/>
        <v>Q2 11</v>
      </c>
      <c r="F37" s="39" t="str">
        <f t="shared" si="5"/>
        <v>Q3 11</v>
      </c>
      <c r="G37" s="39" t="str">
        <f t="shared" si="5"/>
        <v>Q4 11</v>
      </c>
      <c r="H37" s="39" t="str">
        <f t="shared" si="5"/>
        <v>Q1 12</v>
      </c>
      <c r="I37" s="39" t="str">
        <f t="shared" si="5"/>
        <v>Q2 12</v>
      </c>
      <c r="J37" s="39" t="str">
        <f t="shared" si="5"/>
        <v>Q3 12</v>
      </c>
      <c r="K37" s="39" t="str">
        <f t="shared" si="5"/>
        <v>Q4 12</v>
      </c>
      <c r="L37" s="39" t="str">
        <f t="shared" si="5"/>
        <v>Q1 13</v>
      </c>
      <c r="M37" s="39" t="str">
        <f>+M4</f>
        <v>Q2 13</v>
      </c>
      <c r="N37" s="39" t="str">
        <f t="shared" si="5"/>
        <v>Q3 13</v>
      </c>
      <c r="O37" s="39" t="str">
        <f t="shared" si="5"/>
        <v>Q1 14</v>
      </c>
      <c r="S37" s="11">
        <v>2010</v>
      </c>
      <c r="T37" s="11">
        <v>2011</v>
      </c>
      <c r="U37" s="11">
        <v>2012</v>
      </c>
      <c r="V37" s="39" t="s">
        <v>240</v>
      </c>
      <c r="W37" s="39" t="s">
        <v>239</v>
      </c>
    </row>
    <row r="38" spans="1:24">
      <c r="A38" s="39" t="s">
        <v>81</v>
      </c>
      <c r="B38" s="42" t="e">
        <f t="shared" ref="B38:N38" si="6">B5*100</f>
        <v>#REF!</v>
      </c>
      <c r="C38" s="42" t="e">
        <f t="shared" si="6"/>
        <v>#REF!</v>
      </c>
      <c r="D38" s="42" t="e">
        <f t="shared" si="6"/>
        <v>#REF!</v>
      </c>
      <c r="E38" s="42" t="e">
        <f t="shared" si="6"/>
        <v>#REF!</v>
      </c>
      <c r="F38" s="42" t="e">
        <f t="shared" si="6"/>
        <v>#REF!</v>
      </c>
      <c r="G38" s="42" t="e">
        <f t="shared" si="6"/>
        <v>#REF!</v>
      </c>
      <c r="H38" s="42" t="e">
        <f t="shared" si="6"/>
        <v>#REF!</v>
      </c>
      <c r="I38" s="42" t="e">
        <f t="shared" si="6"/>
        <v>#REF!</v>
      </c>
      <c r="J38" s="42" t="e">
        <f t="shared" si="6"/>
        <v>#REF!</v>
      </c>
      <c r="K38" s="42" t="e">
        <f t="shared" si="6"/>
        <v>#REF!</v>
      </c>
      <c r="L38" s="42" t="e">
        <f t="shared" si="6"/>
        <v>#REF!</v>
      </c>
      <c r="M38" s="42" t="e">
        <f>M5*100</f>
        <v>#REF!</v>
      </c>
      <c r="N38" s="42" t="e">
        <f t="shared" si="6"/>
        <v>#REF!</v>
      </c>
      <c r="O38" s="42"/>
      <c r="S38" s="8">
        <v>13.4</v>
      </c>
      <c r="T38" s="8">
        <v>10.5</v>
      </c>
      <c r="U38" s="8">
        <v>13.8</v>
      </c>
      <c r="V38" s="8">
        <v>18.8</v>
      </c>
      <c r="W38" s="42" t="e">
        <f>#REF!*100</f>
        <v>#REF!</v>
      </c>
    </row>
    <row r="39" spans="1:24">
      <c r="A39" s="39" t="s">
        <v>257</v>
      </c>
      <c r="B39" s="38"/>
      <c r="E39" s="42">
        <v>10.5</v>
      </c>
      <c r="F39" s="42">
        <v>10.5</v>
      </c>
      <c r="G39" s="42">
        <v>10.5</v>
      </c>
      <c r="H39" s="42">
        <v>10.5</v>
      </c>
      <c r="I39" s="42">
        <v>10.5</v>
      </c>
      <c r="J39" s="42">
        <v>10.5</v>
      </c>
      <c r="K39" s="42">
        <v>10.5</v>
      </c>
      <c r="L39" s="42">
        <v>10.5</v>
      </c>
      <c r="M39" s="42">
        <v>10.5</v>
      </c>
      <c r="N39" s="42">
        <v>10.5</v>
      </c>
    </row>
    <row r="40" spans="1:24">
      <c r="A40" s="34"/>
      <c r="B40" s="38"/>
      <c r="F40" s="34"/>
      <c r="G40" s="35"/>
      <c r="H40" s="35"/>
    </row>
    <row r="41" spans="1:24">
      <c r="A41" s="34"/>
      <c r="B41" s="38"/>
      <c r="F41" s="34"/>
      <c r="G41" s="35"/>
      <c r="H41" s="35"/>
    </row>
    <row r="42" spans="1:24">
      <c r="A42" s="34"/>
      <c r="F42" s="34"/>
      <c r="G42" s="35"/>
      <c r="H42" s="35"/>
      <c r="X42" s="36"/>
    </row>
    <row r="43" spans="1:24">
      <c r="A43" s="34"/>
      <c r="F43" s="34"/>
      <c r="G43" s="35"/>
      <c r="H43" s="35"/>
      <c r="X43" s="36"/>
    </row>
    <row r="44" spans="1:24">
      <c r="A44" s="34"/>
      <c r="F44" s="34"/>
      <c r="G44" s="35"/>
      <c r="H44" s="35"/>
    </row>
    <row r="45" spans="1:24">
      <c r="A45" s="34"/>
      <c r="F45" s="31"/>
      <c r="G45" s="35"/>
      <c r="H45" s="35"/>
    </row>
    <row r="46" spans="1:24">
      <c r="F46" s="31"/>
    </row>
    <row r="47" spans="1:24">
      <c r="F47" s="31"/>
    </row>
    <row r="48" spans="1:24">
      <c r="F48" s="31"/>
    </row>
    <row r="49" spans="1:21">
      <c r="F49" s="31"/>
    </row>
    <row r="50" spans="1:21">
      <c r="F50" s="31"/>
    </row>
    <row r="51" spans="1:21">
      <c r="B51" s="39" t="str">
        <f>B37</f>
        <v>Q3 10</v>
      </c>
      <c r="C51" s="39" t="str">
        <f t="shared" ref="C51:N51" si="7">C37</f>
        <v>Q4 10</v>
      </c>
      <c r="D51" s="39" t="str">
        <f t="shared" si="7"/>
        <v>Q1 11</v>
      </c>
      <c r="E51" s="39" t="str">
        <f t="shared" si="7"/>
        <v>Q2 11</v>
      </c>
      <c r="F51" s="39" t="str">
        <f t="shared" si="7"/>
        <v>Q3 11</v>
      </c>
      <c r="G51" s="39" t="str">
        <f t="shared" si="7"/>
        <v>Q4 11</v>
      </c>
      <c r="H51" s="39" t="str">
        <f t="shared" si="7"/>
        <v>Q1 12</v>
      </c>
      <c r="I51" s="39" t="str">
        <f t="shared" si="7"/>
        <v>Q2 12</v>
      </c>
      <c r="J51" s="39" t="str">
        <f t="shared" si="7"/>
        <v>Q3 12</v>
      </c>
      <c r="K51" s="39" t="str">
        <f t="shared" si="7"/>
        <v>Q4 12</v>
      </c>
      <c r="L51" s="39" t="str">
        <f t="shared" si="7"/>
        <v>Q1 13</v>
      </c>
      <c r="M51" s="39" t="str">
        <f t="shared" si="7"/>
        <v>Q2 13</v>
      </c>
      <c r="N51" s="39" t="str">
        <f t="shared" si="7"/>
        <v>Q3 13</v>
      </c>
      <c r="O51" s="39"/>
      <c r="Q51" s="11">
        <v>2010</v>
      </c>
      <c r="R51" s="11">
        <v>2011</v>
      </c>
      <c r="S51" s="11">
        <v>2012</v>
      </c>
      <c r="T51" s="39" t="s">
        <v>240</v>
      </c>
      <c r="U51" s="39" t="s">
        <v>239</v>
      </c>
    </row>
    <row r="52" spans="1:21">
      <c r="A52" s="39" t="s">
        <v>9</v>
      </c>
      <c r="B52" s="88" t="e">
        <f t="shared" ref="B52:N52" si="8">B7*100</f>
        <v>#REF!</v>
      </c>
      <c r="C52" s="88" t="e">
        <f t="shared" si="8"/>
        <v>#REF!</v>
      </c>
      <c r="D52" s="88" t="e">
        <f t="shared" si="8"/>
        <v>#REF!</v>
      </c>
      <c r="E52" s="88" t="e">
        <f t="shared" si="8"/>
        <v>#REF!</v>
      </c>
      <c r="F52" s="88" t="e">
        <f t="shared" si="8"/>
        <v>#REF!</v>
      </c>
      <c r="G52" s="88" t="e">
        <f t="shared" si="8"/>
        <v>#REF!</v>
      </c>
      <c r="H52" s="88" t="e">
        <f t="shared" si="8"/>
        <v>#REF!</v>
      </c>
      <c r="I52" s="88" t="e">
        <f t="shared" si="8"/>
        <v>#REF!</v>
      </c>
      <c r="J52" s="88" t="e">
        <f t="shared" si="8"/>
        <v>#REF!</v>
      </c>
      <c r="K52" s="88" t="e">
        <f t="shared" si="8"/>
        <v>#REF!</v>
      </c>
      <c r="L52" s="88" t="e">
        <f t="shared" si="8"/>
        <v>#REF!</v>
      </c>
      <c r="M52" s="88" t="e">
        <f t="shared" si="8"/>
        <v>#REF!</v>
      </c>
      <c r="N52" s="88" t="e">
        <f t="shared" si="8"/>
        <v>#REF!</v>
      </c>
      <c r="O52" s="88"/>
      <c r="Q52" s="8">
        <v>2.7</v>
      </c>
      <c r="R52" s="8">
        <v>3.4</v>
      </c>
      <c r="S52" s="8">
        <v>3.4</v>
      </c>
      <c r="T52" s="8">
        <v>3.4</v>
      </c>
      <c r="U52" s="42" t="e">
        <f>#REF!*100</f>
        <v>#REF!</v>
      </c>
    </row>
    <row r="53" spans="1:21">
      <c r="E53" s="88">
        <v>2.7</v>
      </c>
      <c r="F53" s="88">
        <v>2.7</v>
      </c>
      <c r="G53" s="88">
        <v>2.7</v>
      </c>
      <c r="H53" s="88">
        <v>2.7</v>
      </c>
      <c r="I53" s="88">
        <v>2.7</v>
      </c>
      <c r="J53" s="88">
        <v>2.7</v>
      </c>
      <c r="K53" s="88">
        <v>2.7</v>
      </c>
      <c r="L53" s="88">
        <v>2.7</v>
      </c>
      <c r="M53" s="88">
        <v>2.7</v>
      </c>
      <c r="N53" s="88">
        <v>2.7</v>
      </c>
      <c r="O53" s="88"/>
    </row>
    <row r="66" spans="1:19">
      <c r="B66" s="39" t="str">
        <f>B51</f>
        <v>Q3 10</v>
      </c>
      <c r="C66" s="39" t="str">
        <f t="shared" ref="C66:N66" si="9">C51</f>
        <v>Q4 10</v>
      </c>
      <c r="D66" s="39" t="str">
        <f t="shared" si="9"/>
        <v>Q1 11</v>
      </c>
      <c r="E66" s="39" t="str">
        <f t="shared" si="9"/>
        <v>Q2 11</v>
      </c>
      <c r="F66" s="39" t="str">
        <f t="shared" si="9"/>
        <v>Q3 11</v>
      </c>
      <c r="G66" s="39" t="str">
        <f t="shared" si="9"/>
        <v>Q4 11</v>
      </c>
      <c r="H66" s="39" t="str">
        <f t="shared" si="9"/>
        <v>Q1 12</v>
      </c>
      <c r="I66" s="39" t="str">
        <f t="shared" si="9"/>
        <v>Q2 12</v>
      </c>
      <c r="J66" s="39" t="str">
        <f t="shared" si="9"/>
        <v>Q3 12</v>
      </c>
      <c r="K66" s="39" t="str">
        <f t="shared" si="9"/>
        <v>Q4 12</v>
      </c>
      <c r="L66" s="39" t="str">
        <f t="shared" si="9"/>
        <v>Q1 13</v>
      </c>
      <c r="M66" s="39" t="str">
        <f t="shared" si="9"/>
        <v>Q2 13</v>
      </c>
      <c r="N66" s="39" t="str">
        <f t="shared" si="9"/>
        <v>Q3 13</v>
      </c>
      <c r="O66" s="39"/>
      <c r="Q66" s="11">
        <v>2010</v>
      </c>
      <c r="R66" s="11">
        <v>2011</v>
      </c>
      <c r="S66" s="11">
        <v>2012</v>
      </c>
    </row>
    <row r="67" spans="1:19">
      <c r="A67" s="39" t="s">
        <v>79</v>
      </c>
      <c r="B67" s="88" t="e">
        <f t="shared" ref="B67:M67" si="10">B14*100</f>
        <v>#REF!</v>
      </c>
      <c r="C67" s="88" t="e">
        <f t="shared" si="10"/>
        <v>#REF!</v>
      </c>
      <c r="D67" s="88" t="e">
        <f t="shared" si="10"/>
        <v>#REF!</v>
      </c>
      <c r="E67" s="88" t="e">
        <f t="shared" si="10"/>
        <v>#REF!</v>
      </c>
      <c r="F67" s="88" t="e">
        <f t="shared" si="10"/>
        <v>#REF!</v>
      </c>
      <c r="G67" s="88" t="e">
        <f t="shared" si="10"/>
        <v>#REF!</v>
      </c>
      <c r="H67" s="88" t="e">
        <f t="shared" si="10"/>
        <v>#REF!</v>
      </c>
      <c r="I67" s="88" t="e">
        <f t="shared" si="10"/>
        <v>#REF!</v>
      </c>
      <c r="J67" s="88" t="e">
        <f t="shared" si="10"/>
        <v>#REF!</v>
      </c>
      <c r="K67" s="88" t="e">
        <f t="shared" si="10"/>
        <v>#REF!</v>
      </c>
      <c r="L67" s="88" t="e">
        <f t="shared" si="10"/>
        <v>#REF!</v>
      </c>
      <c r="M67" s="88" t="e">
        <f t="shared" si="10"/>
        <v>#REF!</v>
      </c>
      <c r="N67" s="88" t="e">
        <f>N14*100</f>
        <v>#REF!</v>
      </c>
      <c r="O67" s="88"/>
    </row>
    <row r="68" spans="1:19">
      <c r="A68" s="39" t="s">
        <v>258</v>
      </c>
      <c r="E68" s="88">
        <v>13</v>
      </c>
      <c r="F68" s="88">
        <v>13</v>
      </c>
      <c r="G68" s="88">
        <v>13</v>
      </c>
      <c r="H68" s="88">
        <v>13</v>
      </c>
      <c r="I68" s="88">
        <v>13</v>
      </c>
      <c r="J68" s="88">
        <v>13</v>
      </c>
      <c r="K68" s="88">
        <v>13</v>
      </c>
      <c r="L68" s="88">
        <v>13</v>
      </c>
      <c r="M68" s="88">
        <v>13</v>
      </c>
      <c r="N68" s="88">
        <v>13</v>
      </c>
    </row>
    <row r="81" spans="1:21">
      <c r="B81" s="39" t="str">
        <f>B66</f>
        <v>Q3 10</v>
      </c>
      <c r="C81" s="39" t="str">
        <f t="shared" ref="C81:N81" si="11">C66</f>
        <v>Q4 10</v>
      </c>
      <c r="D81" s="39" t="str">
        <f t="shared" si="11"/>
        <v>Q1 11</v>
      </c>
      <c r="E81" s="39" t="str">
        <f t="shared" si="11"/>
        <v>Q2 11</v>
      </c>
      <c r="F81" s="39" t="str">
        <f t="shared" si="11"/>
        <v>Q3 11</v>
      </c>
      <c r="G81" s="39" t="str">
        <f t="shared" si="11"/>
        <v>Q4 11</v>
      </c>
      <c r="H81" s="39" t="str">
        <f t="shared" si="11"/>
        <v>Q1 12</v>
      </c>
      <c r="I81" s="39" t="str">
        <f t="shared" si="11"/>
        <v>Q2 12</v>
      </c>
      <c r="J81" s="39" t="str">
        <f t="shared" si="11"/>
        <v>Q3 12</v>
      </c>
      <c r="K81" s="39" t="str">
        <f t="shared" si="11"/>
        <v>Q4 12</v>
      </c>
      <c r="L81" s="39" t="str">
        <f t="shared" si="11"/>
        <v>Q1 13</v>
      </c>
      <c r="M81" s="39" t="str">
        <f t="shared" si="11"/>
        <v>Q2 13</v>
      </c>
      <c r="N81" s="39" t="str">
        <f t="shared" si="11"/>
        <v>Q3 13</v>
      </c>
      <c r="O81" s="39"/>
      <c r="Q81" s="11">
        <v>2010</v>
      </c>
      <c r="R81" s="11">
        <v>2011</v>
      </c>
      <c r="S81" s="11">
        <v>2012</v>
      </c>
      <c r="T81" s="39" t="s">
        <v>240</v>
      </c>
      <c r="U81" s="39" t="s">
        <v>239</v>
      </c>
    </row>
    <row r="82" spans="1:21">
      <c r="A82" s="39" t="s">
        <v>130</v>
      </c>
      <c r="B82" s="88" t="e">
        <f t="shared" ref="B82:N82" si="12">B9*100</f>
        <v>#REF!</v>
      </c>
      <c r="C82" s="88" t="e">
        <f t="shared" si="12"/>
        <v>#REF!</v>
      </c>
      <c r="D82" s="88" t="e">
        <f t="shared" si="12"/>
        <v>#REF!</v>
      </c>
      <c r="E82" s="88" t="e">
        <f t="shared" si="12"/>
        <v>#REF!</v>
      </c>
      <c r="F82" s="88" t="e">
        <f t="shared" si="12"/>
        <v>#REF!</v>
      </c>
      <c r="G82" s="88" t="e">
        <f t="shared" si="12"/>
        <v>#REF!</v>
      </c>
      <c r="H82" s="88" t="e">
        <f t="shared" si="12"/>
        <v>#REF!</v>
      </c>
      <c r="I82" s="88" t="e">
        <f t="shared" si="12"/>
        <v>#REF!</v>
      </c>
      <c r="J82" s="88" t="e">
        <f t="shared" si="12"/>
        <v>#REF!</v>
      </c>
      <c r="K82" s="88" t="e">
        <f t="shared" si="12"/>
        <v>#REF!</v>
      </c>
      <c r="L82" s="88" t="e">
        <f t="shared" si="12"/>
        <v>#REF!</v>
      </c>
      <c r="M82" s="88" t="e">
        <f t="shared" si="12"/>
        <v>#REF!</v>
      </c>
      <c r="N82" s="88" t="e">
        <f t="shared" si="12"/>
        <v>#REF!</v>
      </c>
      <c r="O82" s="88"/>
      <c r="Q82" s="8">
        <v>54.2</v>
      </c>
      <c r="R82" s="8">
        <v>52.5</v>
      </c>
      <c r="S82" s="8">
        <v>49.8</v>
      </c>
      <c r="T82" s="42">
        <v>52</v>
      </c>
      <c r="U82" s="42" t="e">
        <f>#REF!*100</f>
        <v>#REF!</v>
      </c>
    </row>
    <row r="83" spans="1:21">
      <c r="E83" s="88">
        <v>50</v>
      </c>
      <c r="F83" s="88">
        <v>50</v>
      </c>
      <c r="G83" s="88">
        <v>50</v>
      </c>
      <c r="H83" s="88">
        <v>50</v>
      </c>
      <c r="I83" s="88">
        <v>50</v>
      </c>
      <c r="J83" s="88">
        <v>50</v>
      </c>
      <c r="K83" s="88">
        <v>50</v>
      </c>
      <c r="L83" s="88">
        <v>50</v>
      </c>
      <c r="M83" s="88">
        <v>50</v>
      </c>
      <c r="N83" s="88">
        <v>50</v>
      </c>
    </row>
    <row r="84" spans="1:21">
      <c r="E84" s="88">
        <v>60</v>
      </c>
      <c r="F84" s="88">
        <v>60</v>
      </c>
      <c r="G84" s="88">
        <v>60</v>
      </c>
      <c r="H84" s="88">
        <v>60</v>
      </c>
      <c r="I84" s="88">
        <v>60</v>
      </c>
      <c r="J84" s="88">
        <v>60</v>
      </c>
      <c r="K84" s="88">
        <v>60</v>
      </c>
      <c r="L84" s="88">
        <v>60</v>
      </c>
      <c r="M84" s="88">
        <v>60</v>
      </c>
      <c r="N84" s="88">
        <v>60</v>
      </c>
    </row>
    <row r="95" spans="1:21">
      <c r="B95" s="39" t="str">
        <f>B81</f>
        <v>Q3 10</v>
      </c>
      <c r="C95" s="39" t="str">
        <f t="shared" ref="C95:K95" si="13">C81</f>
        <v>Q4 10</v>
      </c>
      <c r="D95" s="39" t="str">
        <f t="shared" si="13"/>
        <v>Q1 11</v>
      </c>
      <c r="E95" s="39" t="str">
        <f t="shared" si="13"/>
        <v>Q2 11</v>
      </c>
      <c r="F95" s="39" t="str">
        <f t="shared" si="13"/>
        <v>Q3 11</v>
      </c>
      <c r="G95" s="39" t="str">
        <f t="shared" si="13"/>
        <v>Q4 11</v>
      </c>
      <c r="H95" s="39" t="str">
        <f t="shared" si="13"/>
        <v>Q1 12</v>
      </c>
      <c r="I95" s="39" t="str">
        <f t="shared" si="13"/>
        <v>Q2 12</v>
      </c>
      <c r="J95" s="39" t="str">
        <f t="shared" si="13"/>
        <v>Q3 12</v>
      </c>
      <c r="K95" s="39" t="str">
        <f t="shared" si="13"/>
        <v>Q4 12</v>
      </c>
      <c r="L95" s="39" t="str">
        <f>L81</f>
        <v>Q1 13</v>
      </c>
      <c r="M95" s="39" t="str">
        <f>M81</f>
        <v>Q2 13</v>
      </c>
      <c r="N95" s="39" t="str">
        <f>N81</f>
        <v>Q3 13</v>
      </c>
      <c r="O95" s="39"/>
      <c r="Q95" s="11">
        <v>2010</v>
      </c>
      <c r="R95" s="11">
        <v>2011</v>
      </c>
      <c r="S95" s="11">
        <v>2012</v>
      </c>
      <c r="T95" s="39" t="s">
        <v>240</v>
      </c>
      <c r="U95" s="39" t="s">
        <v>239</v>
      </c>
    </row>
    <row r="96" spans="1:21">
      <c r="A96" s="39" t="s">
        <v>131</v>
      </c>
      <c r="B96" s="88" t="e">
        <f t="shared" ref="B96:N96" si="14">B10*100</f>
        <v>#REF!</v>
      </c>
      <c r="C96" s="88" t="e">
        <f t="shared" si="14"/>
        <v>#REF!</v>
      </c>
      <c r="D96" s="88" t="e">
        <f t="shared" si="14"/>
        <v>#REF!</v>
      </c>
      <c r="E96" s="88" t="e">
        <f t="shared" si="14"/>
        <v>#REF!</v>
      </c>
      <c r="F96" s="88" t="e">
        <f t="shared" si="14"/>
        <v>#REF!</v>
      </c>
      <c r="G96" s="88" t="e">
        <f t="shared" si="14"/>
        <v>#REF!</v>
      </c>
      <c r="H96" s="88" t="e">
        <f t="shared" si="14"/>
        <v>#REF!</v>
      </c>
      <c r="I96" s="88" t="e">
        <f t="shared" si="14"/>
        <v>#REF!</v>
      </c>
      <c r="J96" s="88" t="e">
        <f t="shared" si="14"/>
        <v>#REF!</v>
      </c>
      <c r="K96" s="88" t="e">
        <f t="shared" si="14"/>
        <v>#REF!</v>
      </c>
      <c r="L96" s="88" t="e">
        <f t="shared" si="14"/>
        <v>#REF!</v>
      </c>
      <c r="M96" s="88" t="e">
        <f>M10*100</f>
        <v>#REF!</v>
      </c>
      <c r="N96" s="88" t="e">
        <f t="shared" si="14"/>
        <v>#REF!</v>
      </c>
      <c r="O96" s="88"/>
      <c r="P96" s="8" t="s">
        <v>102</v>
      </c>
      <c r="Q96" s="42" t="e">
        <f>#REF!*100</f>
        <v>#REF!</v>
      </c>
      <c r="R96" s="42" t="e">
        <f>#REF!*100</f>
        <v>#REF!</v>
      </c>
      <c r="S96" s="42" t="e">
        <f>#REF!*100</f>
        <v>#REF!</v>
      </c>
      <c r="T96" s="42" t="e">
        <f>#REF!*100</f>
        <v>#REF!</v>
      </c>
      <c r="U96" s="42" t="e">
        <f>#REF!*100</f>
        <v>#REF!</v>
      </c>
    </row>
    <row r="97" spans="1:21">
      <c r="P97" s="8" t="s">
        <v>111</v>
      </c>
      <c r="Q97" s="42" t="e">
        <f>#REF!*100</f>
        <v>#REF!</v>
      </c>
      <c r="R97" s="42" t="e">
        <f>#REF!*100</f>
        <v>#REF!</v>
      </c>
      <c r="S97" s="42" t="e">
        <f>#REF!*100</f>
        <v>#REF!</v>
      </c>
      <c r="T97" s="42" t="e">
        <f>#REF!*100</f>
        <v>#REF!</v>
      </c>
      <c r="U97" s="42" t="e">
        <f>#REF!*100</f>
        <v>#REF!</v>
      </c>
    </row>
    <row r="98" spans="1:21">
      <c r="P98" s="11" t="s">
        <v>27</v>
      </c>
      <c r="Q98" s="122" t="e">
        <f>SUM(Q96:Q97)</f>
        <v>#REF!</v>
      </c>
      <c r="R98" s="122" t="e">
        <f>SUM(R96:R97)</f>
        <v>#REF!</v>
      </c>
      <c r="S98" s="122" t="e">
        <f>SUM(S96:S97)</f>
        <v>#REF!</v>
      </c>
      <c r="T98" s="122" t="e">
        <f>SUM(T96:T97)</f>
        <v>#REF!</v>
      </c>
      <c r="U98" s="122" t="e">
        <f>SUM(U96:U97)</f>
        <v>#REF!</v>
      </c>
    </row>
    <row r="109" spans="1:21">
      <c r="B109" s="39" t="str">
        <f>B95</f>
        <v>Q3 10</v>
      </c>
      <c r="C109" s="39" t="str">
        <f t="shared" ref="C109:K109" si="15">C95</f>
        <v>Q4 10</v>
      </c>
      <c r="D109" s="39" t="str">
        <f t="shared" si="15"/>
        <v>Q1 11</v>
      </c>
      <c r="E109" s="39" t="str">
        <f t="shared" si="15"/>
        <v>Q2 11</v>
      </c>
      <c r="F109" s="39" t="str">
        <f t="shared" si="15"/>
        <v>Q3 11</v>
      </c>
      <c r="G109" s="39" t="str">
        <f t="shared" si="15"/>
        <v>Q4 11</v>
      </c>
      <c r="H109" s="39" t="str">
        <f t="shared" si="15"/>
        <v>Q1 12</v>
      </c>
      <c r="I109" s="39" t="str">
        <f t="shared" si="15"/>
        <v>Q2 12</v>
      </c>
      <c r="J109" s="39" t="str">
        <f t="shared" si="15"/>
        <v>Q3 12</v>
      </c>
      <c r="K109" s="39" t="str">
        <f t="shared" si="15"/>
        <v>Q4 12</v>
      </c>
      <c r="L109" s="39" t="str">
        <f>L95</f>
        <v>Q1 13</v>
      </c>
      <c r="M109" s="39" t="str">
        <f>M95</f>
        <v>Q2 13</v>
      </c>
      <c r="N109" s="39" t="str">
        <f>N95</f>
        <v>Q3 13</v>
      </c>
      <c r="O109" s="39"/>
      <c r="Q109" s="11">
        <v>2010</v>
      </c>
      <c r="R109" s="11">
        <v>2011</v>
      </c>
      <c r="S109" s="11">
        <v>2012</v>
      </c>
    </row>
    <row r="110" spans="1:21">
      <c r="A110" s="39" t="s">
        <v>145</v>
      </c>
      <c r="B110" s="88" t="e">
        <f t="shared" ref="B110:L110" si="16">B15*100</f>
        <v>#REF!</v>
      </c>
      <c r="C110" s="88" t="e">
        <f t="shared" si="16"/>
        <v>#REF!</v>
      </c>
      <c r="D110" s="88" t="e">
        <f t="shared" si="16"/>
        <v>#REF!</v>
      </c>
      <c r="E110" s="88" t="e">
        <f t="shared" si="16"/>
        <v>#REF!</v>
      </c>
      <c r="F110" s="88" t="e">
        <f t="shared" si="16"/>
        <v>#REF!</v>
      </c>
      <c r="G110" s="88" t="e">
        <f t="shared" si="16"/>
        <v>#REF!</v>
      </c>
      <c r="H110" s="88" t="e">
        <f t="shared" si="16"/>
        <v>#REF!</v>
      </c>
      <c r="I110" s="88" t="e">
        <f t="shared" si="16"/>
        <v>#REF!</v>
      </c>
      <c r="J110" s="88" t="e">
        <f t="shared" si="16"/>
        <v>#REF!</v>
      </c>
      <c r="K110" s="88" t="e">
        <f t="shared" si="16"/>
        <v>#REF!</v>
      </c>
      <c r="L110" s="88" t="e">
        <f t="shared" si="16"/>
        <v>#REF!</v>
      </c>
      <c r="M110" s="88" t="e">
        <f>M15*100</f>
        <v>#REF!</v>
      </c>
      <c r="N110" s="88" t="e">
        <f>N15*100</f>
        <v>#REF!</v>
      </c>
      <c r="O110" s="88"/>
      <c r="Q110" s="42" t="e">
        <f>C110</f>
        <v>#REF!</v>
      </c>
      <c r="R110" s="42" t="e">
        <f>G110</f>
        <v>#REF!</v>
      </c>
      <c r="S110" s="42" t="e">
        <f>K110</f>
        <v>#REF!</v>
      </c>
    </row>
    <row r="123" spans="1:19">
      <c r="B123" s="39" t="str">
        <f>B109</f>
        <v>Q3 10</v>
      </c>
      <c r="C123" s="39" t="str">
        <f t="shared" ref="C123:K123" si="17">C109</f>
        <v>Q4 10</v>
      </c>
      <c r="D123" s="39" t="str">
        <f t="shared" si="17"/>
        <v>Q1 11</v>
      </c>
      <c r="E123" s="39" t="str">
        <f t="shared" si="17"/>
        <v>Q2 11</v>
      </c>
      <c r="F123" s="39" t="str">
        <f t="shared" si="17"/>
        <v>Q3 11</v>
      </c>
      <c r="G123" s="39" t="str">
        <f t="shared" si="17"/>
        <v>Q4 11</v>
      </c>
      <c r="H123" s="39" t="str">
        <f t="shared" si="17"/>
        <v>Q1 12</v>
      </c>
      <c r="I123" s="39" t="str">
        <f t="shared" si="17"/>
        <v>Q2 12</v>
      </c>
      <c r="J123" s="39" t="str">
        <f t="shared" si="17"/>
        <v>Q3 12</v>
      </c>
      <c r="K123" s="39" t="str">
        <f t="shared" si="17"/>
        <v>Q4 12</v>
      </c>
      <c r="L123" s="39" t="str">
        <f>L109</f>
        <v>Q1 13</v>
      </c>
      <c r="M123" s="39" t="str">
        <f>M109</f>
        <v>Q2 13</v>
      </c>
      <c r="N123" s="39" t="str">
        <f>N109</f>
        <v>Q3 13</v>
      </c>
      <c r="O123" s="39"/>
      <c r="Q123" s="11">
        <v>2010</v>
      </c>
      <c r="R123" s="11">
        <v>2011</v>
      </c>
      <c r="S123" s="11">
        <v>2012</v>
      </c>
    </row>
    <row r="124" spans="1:19">
      <c r="A124" s="39" t="s">
        <v>129</v>
      </c>
      <c r="B124" s="88" t="e">
        <f t="shared" ref="B124:L124" si="18">B6*100</f>
        <v>#REF!</v>
      </c>
      <c r="C124" s="88" t="e">
        <f t="shared" si="18"/>
        <v>#REF!</v>
      </c>
      <c r="D124" s="88" t="e">
        <f t="shared" si="18"/>
        <v>#REF!</v>
      </c>
      <c r="E124" s="88" t="e">
        <f t="shared" si="18"/>
        <v>#REF!</v>
      </c>
      <c r="F124" s="88" t="e">
        <f t="shared" si="18"/>
        <v>#REF!</v>
      </c>
      <c r="G124" s="88" t="e">
        <f t="shared" si="18"/>
        <v>#REF!</v>
      </c>
      <c r="H124" s="88" t="e">
        <f t="shared" si="18"/>
        <v>#REF!</v>
      </c>
      <c r="I124" s="88" t="e">
        <f t="shared" si="18"/>
        <v>#REF!</v>
      </c>
      <c r="J124" s="88" t="e">
        <f t="shared" si="18"/>
        <v>#REF!</v>
      </c>
      <c r="K124" s="88" t="e">
        <f t="shared" si="18"/>
        <v>#REF!</v>
      </c>
      <c r="L124" s="88" t="e">
        <f t="shared" si="18"/>
        <v>#REF!</v>
      </c>
      <c r="M124" s="88" t="e">
        <f>M6*100</f>
        <v>#REF!</v>
      </c>
      <c r="N124" s="88" t="e">
        <f>N6*100</f>
        <v>#REF!</v>
      </c>
      <c r="O124" s="88"/>
    </row>
    <row r="137" spans="1:21">
      <c r="B137" s="39" t="str">
        <f>B123</f>
        <v>Q3 10</v>
      </c>
      <c r="C137" s="39" t="str">
        <f t="shared" ref="C137:K137" si="19">C123</f>
        <v>Q4 10</v>
      </c>
      <c r="D137" s="39" t="str">
        <f t="shared" si="19"/>
        <v>Q1 11</v>
      </c>
      <c r="E137" s="39" t="str">
        <f t="shared" si="19"/>
        <v>Q2 11</v>
      </c>
      <c r="F137" s="39" t="str">
        <f t="shared" si="19"/>
        <v>Q3 11</v>
      </c>
      <c r="G137" s="39" t="str">
        <f t="shared" si="19"/>
        <v>Q4 11</v>
      </c>
      <c r="H137" s="39" t="str">
        <f t="shared" si="19"/>
        <v>Q1 12</v>
      </c>
      <c r="I137" s="39" t="str">
        <f t="shared" si="19"/>
        <v>Q2 12</v>
      </c>
      <c r="J137" s="39" t="str">
        <f t="shared" si="19"/>
        <v>Q3 12</v>
      </c>
      <c r="K137" s="39" t="str">
        <f t="shared" si="19"/>
        <v>Q4 12</v>
      </c>
      <c r="L137" s="39" t="str">
        <f>L123</f>
        <v>Q1 13</v>
      </c>
      <c r="M137" s="39" t="str">
        <f>M123</f>
        <v>Q2 13</v>
      </c>
      <c r="N137" s="39" t="str">
        <f>N123</f>
        <v>Q3 13</v>
      </c>
      <c r="O137" s="39"/>
      <c r="Q137" s="11">
        <v>2010</v>
      </c>
      <c r="R137" s="11">
        <v>2011</v>
      </c>
      <c r="S137" s="11">
        <v>2012</v>
      </c>
      <c r="T137" s="39" t="s">
        <v>240</v>
      </c>
      <c r="U137" s="39" t="s">
        <v>239</v>
      </c>
    </row>
    <row r="138" spans="1:21">
      <c r="A138" s="39" t="s">
        <v>160</v>
      </c>
      <c r="B138" s="88" t="e">
        <f t="shared" ref="B138:N138" si="20">B26*100</f>
        <v>#REF!</v>
      </c>
      <c r="C138" s="88" t="e">
        <f t="shared" si="20"/>
        <v>#REF!</v>
      </c>
      <c r="D138" s="88" t="e">
        <f t="shared" si="20"/>
        <v>#REF!</v>
      </c>
      <c r="E138" s="88" t="e">
        <f t="shared" si="20"/>
        <v>#REF!</v>
      </c>
      <c r="F138" s="88" t="e">
        <f t="shared" si="20"/>
        <v>#REF!</v>
      </c>
      <c r="G138" s="88" t="e">
        <f t="shared" si="20"/>
        <v>#REF!</v>
      </c>
      <c r="H138" s="88" t="e">
        <f t="shared" si="20"/>
        <v>#REF!</v>
      </c>
      <c r="I138" s="88" t="e">
        <f t="shared" si="20"/>
        <v>#REF!</v>
      </c>
      <c r="J138" s="88" t="e">
        <f t="shared" si="20"/>
        <v>#REF!</v>
      </c>
      <c r="K138" s="88" t="e">
        <f t="shared" si="20"/>
        <v>#REF!</v>
      </c>
      <c r="L138" s="88" t="e">
        <f t="shared" si="20"/>
        <v>#REF!</v>
      </c>
      <c r="M138" s="88" t="e">
        <f>M26*100</f>
        <v>#REF!</v>
      </c>
      <c r="N138" s="88" t="e">
        <f t="shared" si="20"/>
        <v>#REF!</v>
      </c>
      <c r="O138" s="88"/>
      <c r="Q138" s="42" t="e">
        <f>C138</f>
        <v>#REF!</v>
      </c>
      <c r="R138" s="42" t="e">
        <f>G138</f>
        <v>#REF!</v>
      </c>
      <c r="S138" s="42" t="e">
        <f>K138</f>
        <v>#REF!</v>
      </c>
      <c r="T138" s="42" t="e">
        <f>I138</f>
        <v>#REF!</v>
      </c>
      <c r="U138" s="42" t="e">
        <f>N138</f>
        <v>#REF!</v>
      </c>
    </row>
    <row r="139" spans="1:21">
      <c r="E139" s="88">
        <v>5</v>
      </c>
      <c r="F139" s="88">
        <v>5</v>
      </c>
      <c r="G139" s="88">
        <v>5</v>
      </c>
      <c r="H139" s="88">
        <v>5</v>
      </c>
      <c r="I139" s="88">
        <v>5</v>
      </c>
      <c r="J139" s="88">
        <v>5</v>
      </c>
      <c r="K139" s="88">
        <v>5</v>
      </c>
      <c r="L139" s="88">
        <v>5</v>
      </c>
      <c r="M139" s="88">
        <v>5</v>
      </c>
      <c r="N139" s="88">
        <v>5</v>
      </c>
    </row>
    <row r="151" spans="1:15">
      <c r="B151" s="39" t="str">
        <f>B137</f>
        <v>Q3 10</v>
      </c>
      <c r="C151" s="39" t="str">
        <f t="shared" ref="C151:K151" si="21">C137</f>
        <v>Q4 10</v>
      </c>
      <c r="D151" s="39" t="str">
        <f t="shared" si="21"/>
        <v>Q1 11</v>
      </c>
      <c r="E151" s="39" t="str">
        <f t="shared" si="21"/>
        <v>Q2 11</v>
      </c>
      <c r="F151" s="39" t="str">
        <f t="shared" si="21"/>
        <v>Q3 11</v>
      </c>
      <c r="G151" s="39" t="str">
        <f t="shared" si="21"/>
        <v>Q4 11</v>
      </c>
      <c r="H151" s="39" t="str">
        <f t="shared" si="21"/>
        <v>Q1 12</v>
      </c>
      <c r="I151" s="39" t="str">
        <f t="shared" si="21"/>
        <v>Q2 12</v>
      </c>
      <c r="J151" s="39" t="str">
        <f t="shared" si="21"/>
        <v>Q3 12</v>
      </c>
      <c r="K151" s="39" t="str">
        <f t="shared" si="21"/>
        <v>Q4 12</v>
      </c>
      <c r="L151" s="39" t="str">
        <f>L137</f>
        <v>Q1 13</v>
      </c>
      <c r="M151" s="39" t="str">
        <f>M137</f>
        <v>Q2 13</v>
      </c>
      <c r="N151" s="39" t="str">
        <f>N137</f>
        <v>Q3 13</v>
      </c>
      <c r="O151" s="39"/>
    </row>
    <row r="152" spans="1:15">
      <c r="A152" s="39" t="s">
        <v>153</v>
      </c>
      <c r="B152" s="88" t="e">
        <f t="shared" ref="B152:N152" si="22">B12*100</f>
        <v>#REF!</v>
      </c>
      <c r="C152" s="88" t="e">
        <f t="shared" si="22"/>
        <v>#REF!</v>
      </c>
      <c r="D152" s="88" t="e">
        <f t="shared" si="22"/>
        <v>#REF!</v>
      </c>
      <c r="E152" s="88" t="e">
        <f t="shared" si="22"/>
        <v>#REF!</v>
      </c>
      <c r="F152" s="88" t="e">
        <f t="shared" si="22"/>
        <v>#REF!</v>
      </c>
      <c r="G152" s="88" t="e">
        <f t="shared" si="22"/>
        <v>#REF!</v>
      </c>
      <c r="H152" s="88" t="e">
        <f t="shared" si="22"/>
        <v>#REF!</v>
      </c>
      <c r="I152" s="88" t="e">
        <f t="shared" si="22"/>
        <v>#REF!</v>
      </c>
      <c r="J152" s="88" t="e">
        <f t="shared" si="22"/>
        <v>#REF!</v>
      </c>
      <c r="K152" s="88" t="e">
        <f t="shared" si="22"/>
        <v>#REF!</v>
      </c>
      <c r="L152" s="88" t="e">
        <f t="shared" si="22"/>
        <v>#REF!</v>
      </c>
      <c r="M152" s="88" t="e">
        <f t="shared" si="22"/>
        <v>#REF!</v>
      </c>
      <c r="N152" s="88" t="e">
        <f t="shared" si="22"/>
        <v>#REF!</v>
      </c>
      <c r="O152" s="88"/>
    </row>
    <row r="165" spans="1:15">
      <c r="B165" s="39" t="str">
        <f>B151</f>
        <v>Q3 10</v>
      </c>
      <c r="C165" s="39" t="str">
        <f t="shared" ref="C165:K165" si="23">C151</f>
        <v>Q4 10</v>
      </c>
      <c r="D165" s="39" t="str">
        <f t="shared" si="23"/>
        <v>Q1 11</v>
      </c>
      <c r="E165" s="39" t="str">
        <f t="shared" si="23"/>
        <v>Q2 11</v>
      </c>
      <c r="F165" s="39" t="str">
        <f t="shared" si="23"/>
        <v>Q3 11</v>
      </c>
      <c r="G165" s="39" t="str">
        <f t="shared" si="23"/>
        <v>Q4 11</v>
      </c>
      <c r="H165" s="39" t="str">
        <f t="shared" si="23"/>
        <v>Q1 12</v>
      </c>
      <c r="I165" s="39" t="str">
        <f t="shared" si="23"/>
        <v>Q2 12</v>
      </c>
      <c r="J165" s="39" t="str">
        <f t="shared" si="23"/>
        <v>Q3 12</v>
      </c>
      <c r="K165" s="39" t="str">
        <f t="shared" si="23"/>
        <v>Q4 12</v>
      </c>
      <c r="L165" s="39" t="str">
        <f>L151</f>
        <v>Q1 13</v>
      </c>
      <c r="M165" s="39" t="str">
        <f>M151</f>
        <v>Q2 13</v>
      </c>
      <c r="N165" s="39" t="str">
        <f>N151</f>
        <v>Q3 13</v>
      </c>
      <c r="O165" s="39"/>
    </row>
    <row r="166" spans="1:15">
      <c r="A166" s="39" t="s">
        <v>244</v>
      </c>
      <c r="B166" s="88" t="e">
        <f t="shared" ref="B166:N166" si="24">B17*100</f>
        <v>#REF!</v>
      </c>
      <c r="C166" s="88" t="e">
        <f t="shared" si="24"/>
        <v>#REF!</v>
      </c>
      <c r="D166" s="88" t="e">
        <f t="shared" si="24"/>
        <v>#REF!</v>
      </c>
      <c r="E166" s="88" t="e">
        <f t="shared" si="24"/>
        <v>#REF!</v>
      </c>
      <c r="F166" s="88" t="e">
        <f t="shared" si="24"/>
        <v>#REF!</v>
      </c>
      <c r="G166" s="88" t="e">
        <f t="shared" si="24"/>
        <v>#REF!</v>
      </c>
      <c r="H166" s="88" t="e">
        <f t="shared" si="24"/>
        <v>#REF!</v>
      </c>
      <c r="I166" s="88" t="e">
        <f t="shared" si="24"/>
        <v>#REF!</v>
      </c>
      <c r="J166" s="88" t="e">
        <f t="shared" si="24"/>
        <v>#REF!</v>
      </c>
      <c r="K166" s="88" t="e">
        <f t="shared" si="24"/>
        <v>#REF!</v>
      </c>
      <c r="L166" s="88" t="e">
        <f t="shared" si="24"/>
        <v>#REF!</v>
      </c>
      <c r="M166" s="88" t="e">
        <f>M17*100</f>
        <v>#REF!</v>
      </c>
      <c r="N166" s="88" t="e">
        <f t="shared" si="24"/>
        <v>#REF!</v>
      </c>
      <c r="O166" s="88"/>
    </row>
    <row r="167" spans="1:15">
      <c r="A167" s="39" t="s">
        <v>154</v>
      </c>
      <c r="C167" s="88">
        <v>20</v>
      </c>
      <c r="D167" s="88">
        <v>20</v>
      </c>
      <c r="E167" s="88">
        <v>20</v>
      </c>
      <c r="F167" s="88">
        <v>20</v>
      </c>
      <c r="G167" s="88">
        <v>20</v>
      </c>
      <c r="H167" s="88">
        <v>20</v>
      </c>
      <c r="I167" s="88">
        <v>20</v>
      </c>
      <c r="J167" s="88">
        <v>20</v>
      </c>
      <c r="K167" s="88">
        <v>20</v>
      </c>
      <c r="L167" s="88">
        <v>20</v>
      </c>
      <c r="M167" s="88">
        <v>20</v>
      </c>
      <c r="N167" s="88">
        <v>20</v>
      </c>
      <c r="O167" s="88"/>
    </row>
    <row r="179" spans="1:15">
      <c r="B179" s="39" t="str">
        <f>B165</f>
        <v>Q3 10</v>
      </c>
      <c r="C179" s="39" t="str">
        <f t="shared" ref="C179:K179" si="25">C165</f>
        <v>Q4 10</v>
      </c>
      <c r="D179" s="39" t="str">
        <f t="shared" si="25"/>
        <v>Q1 11</v>
      </c>
      <c r="E179" s="39" t="str">
        <f t="shared" si="25"/>
        <v>Q2 11</v>
      </c>
      <c r="F179" s="39" t="str">
        <f t="shared" si="25"/>
        <v>Q3 11</v>
      </c>
      <c r="G179" s="39" t="str">
        <f t="shared" si="25"/>
        <v>Q4 11</v>
      </c>
      <c r="H179" s="39" t="str">
        <f t="shared" si="25"/>
        <v>Q1 12</v>
      </c>
      <c r="I179" s="39" t="str">
        <f t="shared" si="25"/>
        <v>Q2 12</v>
      </c>
      <c r="J179" s="39" t="str">
        <f t="shared" si="25"/>
        <v>Q3 12</v>
      </c>
      <c r="K179" s="39" t="str">
        <f t="shared" si="25"/>
        <v>Q4 12</v>
      </c>
      <c r="L179" s="39" t="str">
        <f>L165</f>
        <v>Q1 13</v>
      </c>
      <c r="M179" s="39" t="str">
        <f>M165</f>
        <v>Q2 13</v>
      </c>
      <c r="N179" s="39" t="str">
        <f>N165</f>
        <v>Q3 13</v>
      </c>
      <c r="O179" s="39"/>
    </row>
    <row r="180" spans="1:15">
      <c r="A180" s="39" t="s">
        <v>37</v>
      </c>
      <c r="B180" s="88" t="e">
        <f t="shared" ref="B180:N180" si="26">B18*100</f>
        <v>#REF!</v>
      </c>
      <c r="C180" s="88" t="e">
        <f t="shared" si="26"/>
        <v>#REF!</v>
      </c>
      <c r="D180" s="88" t="e">
        <f t="shared" si="26"/>
        <v>#REF!</v>
      </c>
      <c r="E180" s="88" t="e">
        <f t="shared" si="26"/>
        <v>#REF!</v>
      </c>
      <c r="F180" s="88" t="e">
        <f t="shared" si="26"/>
        <v>#REF!</v>
      </c>
      <c r="G180" s="88" t="e">
        <f t="shared" si="26"/>
        <v>#REF!</v>
      </c>
      <c r="H180" s="88" t="e">
        <f t="shared" si="26"/>
        <v>#REF!</v>
      </c>
      <c r="I180" s="88" t="e">
        <f t="shared" si="26"/>
        <v>#REF!</v>
      </c>
      <c r="J180" s="88" t="e">
        <f t="shared" si="26"/>
        <v>#REF!</v>
      </c>
      <c r="K180" s="88" t="e">
        <f t="shared" si="26"/>
        <v>#REF!</v>
      </c>
      <c r="L180" s="88" t="e">
        <f t="shared" si="26"/>
        <v>#REF!</v>
      </c>
      <c r="M180" s="88" t="e">
        <f>M18*100</f>
        <v>#REF!</v>
      </c>
      <c r="N180" s="88" t="e">
        <f t="shared" si="26"/>
        <v>#REF!</v>
      </c>
      <c r="O180" s="88"/>
    </row>
    <row r="181" spans="1:15">
      <c r="A181" s="39" t="s">
        <v>155</v>
      </c>
      <c r="C181" s="88">
        <v>5</v>
      </c>
      <c r="D181" s="88">
        <v>5</v>
      </c>
      <c r="E181" s="88">
        <v>5</v>
      </c>
      <c r="F181" s="88">
        <v>5</v>
      </c>
      <c r="G181" s="88">
        <v>5</v>
      </c>
      <c r="H181" s="88">
        <v>5</v>
      </c>
      <c r="I181" s="88">
        <v>5</v>
      </c>
      <c r="J181" s="88">
        <v>5</v>
      </c>
      <c r="K181" s="88">
        <v>5</v>
      </c>
      <c r="L181" s="88">
        <v>5</v>
      </c>
      <c r="M181" s="88">
        <v>5</v>
      </c>
      <c r="N181" s="88">
        <v>5</v>
      </c>
      <c r="O181" s="88"/>
    </row>
    <row r="193" spans="1:22">
      <c r="B193" s="39" t="str">
        <f>B179</f>
        <v>Q3 10</v>
      </c>
      <c r="C193" s="39" t="str">
        <f t="shared" ref="C193:K193" si="27">C179</f>
        <v>Q4 10</v>
      </c>
      <c r="D193" s="39" t="str">
        <f t="shared" si="27"/>
        <v>Q1 11</v>
      </c>
      <c r="E193" s="39" t="str">
        <f t="shared" si="27"/>
        <v>Q2 11</v>
      </c>
      <c r="F193" s="39" t="str">
        <f t="shared" si="27"/>
        <v>Q3 11</v>
      </c>
      <c r="G193" s="39" t="str">
        <f t="shared" si="27"/>
        <v>Q4 11</v>
      </c>
      <c r="H193" s="39" t="str">
        <f t="shared" si="27"/>
        <v>Q1 12</v>
      </c>
      <c r="I193" s="39" t="str">
        <f t="shared" si="27"/>
        <v>Q2 12</v>
      </c>
      <c r="J193" s="39" t="str">
        <f t="shared" si="27"/>
        <v>Q3 12</v>
      </c>
      <c r="K193" s="39" t="str">
        <f t="shared" si="27"/>
        <v>Q4 12</v>
      </c>
      <c r="L193" s="39" t="str">
        <f>L179</f>
        <v>Q1 13</v>
      </c>
      <c r="M193" s="39" t="str">
        <f>M179</f>
        <v>Q2 13</v>
      </c>
      <c r="N193" s="39" t="str">
        <f>N179</f>
        <v>Q3 13</v>
      </c>
      <c r="O193" s="39"/>
      <c r="R193" s="11">
        <v>2010</v>
      </c>
      <c r="S193" s="11">
        <v>2011</v>
      </c>
      <c r="T193" s="11">
        <v>2012</v>
      </c>
      <c r="U193" s="39" t="s">
        <v>240</v>
      </c>
      <c r="V193" s="39" t="s">
        <v>239</v>
      </c>
    </row>
    <row r="194" spans="1:22">
      <c r="B194" s="89" t="e">
        <f>B20*100</f>
        <v>#REF!</v>
      </c>
      <c r="C194" s="89" t="e">
        <f t="shared" ref="C194:N194" si="28">C20*100</f>
        <v>#REF!</v>
      </c>
      <c r="D194" s="89" t="e">
        <f t="shared" si="28"/>
        <v>#REF!</v>
      </c>
      <c r="E194" s="89" t="e">
        <f t="shared" si="28"/>
        <v>#REF!</v>
      </c>
      <c r="F194" s="89" t="e">
        <f t="shared" si="28"/>
        <v>#REF!</v>
      </c>
      <c r="G194" s="89" t="e">
        <f t="shared" si="28"/>
        <v>#REF!</v>
      </c>
      <c r="H194" s="89" t="e">
        <f t="shared" si="28"/>
        <v>#REF!</v>
      </c>
      <c r="I194" s="89" t="e">
        <f t="shared" si="28"/>
        <v>#REF!</v>
      </c>
      <c r="J194" s="89" t="e">
        <f t="shared" si="28"/>
        <v>#REF!</v>
      </c>
      <c r="K194" s="89" t="e">
        <f t="shared" si="28"/>
        <v>#REF!</v>
      </c>
      <c r="L194" s="89" t="e">
        <f t="shared" si="28"/>
        <v>#REF!</v>
      </c>
      <c r="M194" s="89" t="e">
        <f>M20*100</f>
        <v>#REF!</v>
      </c>
      <c r="N194" s="89" t="e">
        <f t="shared" si="28"/>
        <v>#REF!</v>
      </c>
      <c r="O194" s="89"/>
      <c r="R194" s="67" t="e">
        <f>C194</f>
        <v>#REF!</v>
      </c>
      <c r="S194" s="67" t="e">
        <f>G194</f>
        <v>#REF!</v>
      </c>
      <c r="T194" s="67" t="e">
        <f>K194</f>
        <v>#REF!</v>
      </c>
      <c r="U194" s="67" t="e">
        <f>I194</f>
        <v>#REF!</v>
      </c>
      <c r="V194" s="67" t="e">
        <f>N194</f>
        <v>#REF!</v>
      </c>
    </row>
    <row r="195" spans="1:22">
      <c r="B195" s="67" t="e">
        <f t="shared" ref="B195:L195" si="29">B196-B194</f>
        <v>#REF!</v>
      </c>
      <c r="C195" s="67" t="e">
        <f t="shared" si="29"/>
        <v>#REF!</v>
      </c>
      <c r="D195" s="67" t="e">
        <f t="shared" si="29"/>
        <v>#REF!</v>
      </c>
      <c r="E195" s="67" t="e">
        <f t="shared" si="29"/>
        <v>#REF!</v>
      </c>
      <c r="F195" s="67" t="e">
        <f t="shared" si="29"/>
        <v>#REF!</v>
      </c>
      <c r="G195" s="67" t="e">
        <f t="shared" si="29"/>
        <v>#REF!</v>
      </c>
      <c r="H195" s="67" t="e">
        <f t="shared" si="29"/>
        <v>#REF!</v>
      </c>
      <c r="I195" s="67" t="e">
        <f t="shared" si="29"/>
        <v>#REF!</v>
      </c>
      <c r="J195" s="67" t="e">
        <f t="shared" si="29"/>
        <v>#REF!</v>
      </c>
      <c r="K195" s="67" t="e">
        <f t="shared" si="29"/>
        <v>#REF!</v>
      </c>
      <c r="L195" s="67" t="e">
        <f t="shared" si="29"/>
        <v>#REF!</v>
      </c>
      <c r="M195" s="67" t="e">
        <f>M196-M194</f>
        <v>#REF!</v>
      </c>
      <c r="N195" s="67" t="e">
        <f>N196-N194</f>
        <v>#REF!</v>
      </c>
      <c r="O195" s="89"/>
      <c r="R195" s="67" t="e">
        <f>R196-R194</f>
        <v>#REF!</v>
      </c>
      <c r="S195" s="67" t="e">
        <f>S196-S194</f>
        <v>#REF!</v>
      </c>
      <c r="T195" s="67" t="e">
        <f>T196-T194</f>
        <v>#REF!</v>
      </c>
      <c r="U195" s="67" t="e">
        <f>U196-U194</f>
        <v>#REF!</v>
      </c>
      <c r="V195" s="67" t="e">
        <f>V196-V194</f>
        <v>#REF!</v>
      </c>
    </row>
    <row r="196" spans="1:22">
      <c r="A196" s="39" t="s">
        <v>259</v>
      </c>
      <c r="B196" s="89" t="e">
        <f t="shared" ref="B196:N196" si="30">B19*100</f>
        <v>#REF!</v>
      </c>
      <c r="C196" s="89" t="e">
        <f t="shared" si="30"/>
        <v>#REF!</v>
      </c>
      <c r="D196" s="89" t="e">
        <f t="shared" si="30"/>
        <v>#REF!</v>
      </c>
      <c r="E196" s="89" t="e">
        <f t="shared" si="30"/>
        <v>#REF!</v>
      </c>
      <c r="F196" s="89" t="e">
        <f t="shared" si="30"/>
        <v>#REF!</v>
      </c>
      <c r="G196" s="89" t="e">
        <f t="shared" si="30"/>
        <v>#REF!</v>
      </c>
      <c r="H196" s="89" t="e">
        <f t="shared" si="30"/>
        <v>#REF!</v>
      </c>
      <c r="I196" s="89" t="e">
        <f t="shared" si="30"/>
        <v>#REF!</v>
      </c>
      <c r="J196" s="89" t="e">
        <f t="shared" si="30"/>
        <v>#REF!</v>
      </c>
      <c r="K196" s="89" t="e">
        <f t="shared" si="30"/>
        <v>#REF!</v>
      </c>
      <c r="L196" s="89" t="e">
        <f t="shared" si="30"/>
        <v>#REF!</v>
      </c>
      <c r="M196" s="89" t="e">
        <f>M19*100</f>
        <v>#REF!</v>
      </c>
      <c r="N196" s="89" t="e">
        <f t="shared" si="30"/>
        <v>#REF!</v>
      </c>
      <c r="R196" s="67" t="e">
        <f>C196</f>
        <v>#REF!</v>
      </c>
      <c r="S196" s="67" t="e">
        <f>G196</f>
        <v>#REF!</v>
      </c>
      <c r="T196" s="67" t="e">
        <f>K196</f>
        <v>#REF!</v>
      </c>
      <c r="U196" s="67" t="e">
        <f>I196</f>
        <v>#REF!</v>
      </c>
      <c r="V196" s="67" t="e">
        <f>N196</f>
        <v>#REF!</v>
      </c>
    </row>
    <row r="197" spans="1:22">
      <c r="E197" s="89">
        <v>130</v>
      </c>
      <c r="F197" s="89">
        <v>130</v>
      </c>
      <c r="G197" s="89">
        <v>130</v>
      </c>
      <c r="H197" s="89">
        <v>130</v>
      </c>
      <c r="I197" s="89">
        <v>130</v>
      </c>
      <c r="J197" s="89">
        <v>130</v>
      </c>
      <c r="K197" s="89">
        <v>130</v>
      </c>
      <c r="L197" s="89">
        <v>130</v>
      </c>
      <c r="M197" s="89">
        <v>130</v>
      </c>
      <c r="N197" s="89">
        <v>130</v>
      </c>
    </row>
    <row r="208" spans="1:22">
      <c r="B208" s="39" t="str">
        <f>B193</f>
        <v>Q3 10</v>
      </c>
      <c r="C208" s="39" t="str">
        <f t="shared" ref="C208:K208" si="31">C193</f>
        <v>Q4 10</v>
      </c>
      <c r="D208" s="39" t="str">
        <f t="shared" si="31"/>
        <v>Q1 11</v>
      </c>
      <c r="E208" s="39" t="str">
        <f t="shared" si="31"/>
        <v>Q2 11</v>
      </c>
      <c r="F208" s="39" t="str">
        <f t="shared" si="31"/>
        <v>Q3 11</v>
      </c>
      <c r="G208" s="39" t="str">
        <f t="shared" si="31"/>
        <v>Q4 11</v>
      </c>
      <c r="H208" s="39" t="str">
        <f t="shared" si="31"/>
        <v>Q1 12</v>
      </c>
      <c r="I208" s="39" t="str">
        <f t="shared" si="31"/>
        <v>Q2 12</v>
      </c>
      <c r="J208" s="39" t="str">
        <f t="shared" si="31"/>
        <v>Q3 12</v>
      </c>
      <c r="K208" s="39" t="str">
        <f t="shared" si="31"/>
        <v>Q4 12</v>
      </c>
      <c r="L208" s="39" t="str">
        <f>L193</f>
        <v>Q1 13</v>
      </c>
      <c r="M208" s="39"/>
      <c r="N208" s="39" t="e">
        <f>N194</f>
        <v>#REF!</v>
      </c>
      <c r="O208" s="39"/>
    </row>
    <row r="209" spans="1:16">
      <c r="A209" s="39" t="s">
        <v>156</v>
      </c>
      <c r="B209" s="88" t="e">
        <f>#REF!*100</f>
        <v>#REF!</v>
      </c>
      <c r="C209" s="88" t="e">
        <f>#REF!*100</f>
        <v>#REF!</v>
      </c>
      <c r="D209" s="88" t="e">
        <f>#REF!*100</f>
        <v>#REF!</v>
      </c>
      <c r="E209" s="88" t="e">
        <f>#REF!*100</f>
        <v>#REF!</v>
      </c>
      <c r="F209" s="88" t="e">
        <f>#REF!*100</f>
        <v>#REF!</v>
      </c>
      <c r="G209" s="88" t="e">
        <f>#REF!*100</f>
        <v>#REF!</v>
      </c>
      <c r="H209" s="88" t="e">
        <f>#REF!*100</f>
        <v>#REF!</v>
      </c>
      <c r="I209" s="88" t="e">
        <f>#REF!*100</f>
        <v>#REF!</v>
      </c>
      <c r="J209" s="88" t="e">
        <f>#REF!*100</f>
        <v>#REF!</v>
      </c>
      <c r="K209" s="88" t="e">
        <f>#REF!*100</f>
        <v>#REF!</v>
      </c>
      <c r="L209" s="88" t="e">
        <f>#REF!*100</f>
        <v>#REF!</v>
      </c>
      <c r="M209" s="88"/>
      <c r="N209" s="88" t="e">
        <f>#REF!*100</f>
        <v>#REF!</v>
      </c>
      <c r="O209" s="88"/>
      <c r="P209" s="88"/>
    </row>
    <row r="223" spans="1:16">
      <c r="B223" s="39" t="str">
        <f>B208</f>
        <v>Q3 10</v>
      </c>
      <c r="C223" s="39" t="str">
        <f>C208</f>
        <v>Q4 10</v>
      </c>
      <c r="D223" s="39" t="str">
        <f>D208</f>
        <v>Q1 11</v>
      </c>
      <c r="E223" s="39" t="str">
        <f>E208</f>
        <v>Q2 11</v>
      </c>
      <c r="F223" s="39" t="str">
        <f>F208</f>
        <v>Q3 11</v>
      </c>
      <c r="G223" s="39">
        <v>2010</v>
      </c>
      <c r="H223" s="39">
        <v>2011</v>
      </c>
      <c r="I223" s="39">
        <v>2012</v>
      </c>
      <c r="J223" s="39" t="s">
        <v>262</v>
      </c>
    </row>
    <row r="224" spans="1:16">
      <c r="A224" s="39" t="s">
        <v>132</v>
      </c>
      <c r="G224" s="8">
        <v>11.1</v>
      </c>
      <c r="H224" s="8" t="e">
        <f>#REF!</f>
        <v>#REF!</v>
      </c>
      <c r="I224" s="42" t="e">
        <f>#REF!</f>
        <v>#REF!</v>
      </c>
      <c r="J224" s="42" t="e">
        <f>#REF!</f>
        <v>#REF!</v>
      </c>
    </row>
    <row r="237" spans="1:14">
      <c r="B237" s="39" t="str">
        <f>B179</f>
        <v>Q3 10</v>
      </c>
      <c r="C237" s="39" t="str">
        <f t="shared" ref="C237:N237" si="32">C179</f>
        <v>Q4 10</v>
      </c>
      <c r="D237" s="39" t="str">
        <f t="shared" si="32"/>
        <v>Q1 11</v>
      </c>
      <c r="E237" s="39" t="str">
        <f t="shared" si="32"/>
        <v>Q2 11</v>
      </c>
      <c r="F237" s="39" t="str">
        <f t="shared" si="32"/>
        <v>Q3 11</v>
      </c>
      <c r="G237" s="39" t="str">
        <f t="shared" si="32"/>
        <v>Q4 11</v>
      </c>
      <c r="H237" s="39" t="str">
        <f t="shared" si="32"/>
        <v>Q1 12</v>
      </c>
      <c r="I237" s="39" t="str">
        <f t="shared" si="32"/>
        <v>Q2 12</v>
      </c>
      <c r="J237" s="39" t="str">
        <f t="shared" si="32"/>
        <v>Q3 12</v>
      </c>
      <c r="K237" s="39" t="str">
        <f t="shared" si="32"/>
        <v>Q4 12</v>
      </c>
      <c r="L237" s="39" t="str">
        <f t="shared" si="32"/>
        <v>Q1 13</v>
      </c>
      <c r="M237" s="39" t="str">
        <f t="shared" si="32"/>
        <v>Q2 13</v>
      </c>
      <c r="N237" s="39" t="str">
        <f t="shared" si="32"/>
        <v>Q3 13</v>
      </c>
    </row>
    <row r="238" spans="1:14">
      <c r="A238" s="8" t="s">
        <v>107</v>
      </c>
      <c r="D238" s="33">
        <v>9.5</v>
      </c>
      <c r="E238" s="8">
        <v>15</v>
      </c>
      <c r="F238" s="8">
        <v>9.5</v>
      </c>
      <c r="G238" s="8">
        <v>-0.7</v>
      </c>
      <c r="H238" s="8">
        <v>10.9</v>
      </c>
      <c r="I238" s="8">
        <v>14.1</v>
      </c>
      <c r="J238" s="8">
        <v>9.4</v>
      </c>
      <c r="K238" s="8">
        <v>10.5</v>
      </c>
      <c r="L238" s="8">
        <f>20.8-12.1</f>
        <v>8.7000000000000011</v>
      </c>
      <c r="M238" s="8">
        <v>12.1</v>
      </c>
    </row>
    <row r="242" spans="1:16">
      <c r="P242" s="8" t="s">
        <v>107</v>
      </c>
    </row>
    <row r="243" spans="1:16">
      <c r="B243" s="39" t="str">
        <f>B237</f>
        <v>Q3 10</v>
      </c>
      <c r="C243" s="39" t="str">
        <f t="shared" ref="C243:N243" si="33">C237</f>
        <v>Q4 10</v>
      </c>
      <c r="D243" s="39" t="str">
        <f t="shared" si="33"/>
        <v>Q1 11</v>
      </c>
      <c r="E243" s="39" t="str">
        <f t="shared" si="33"/>
        <v>Q2 11</v>
      </c>
      <c r="F243" s="39" t="str">
        <f t="shared" si="33"/>
        <v>Q3 11</v>
      </c>
      <c r="G243" s="39" t="str">
        <f t="shared" si="33"/>
        <v>Q4 11</v>
      </c>
      <c r="H243" s="39" t="str">
        <f t="shared" si="33"/>
        <v>Q1 12</v>
      </c>
      <c r="I243" s="39" t="str">
        <f t="shared" si="33"/>
        <v>Q2 12</v>
      </c>
      <c r="J243" s="39" t="str">
        <f t="shared" si="33"/>
        <v>Q3 12</v>
      </c>
      <c r="K243" s="39" t="str">
        <f t="shared" si="33"/>
        <v>Q4 12</v>
      </c>
      <c r="L243" s="39" t="str">
        <f t="shared" si="33"/>
        <v>Q1 13</v>
      </c>
      <c r="M243" s="39" t="str">
        <f t="shared" si="33"/>
        <v>Q2 13</v>
      </c>
      <c r="N243" s="39" t="str">
        <f t="shared" si="33"/>
        <v>Q3 13</v>
      </c>
    </row>
    <row r="244" spans="1:16">
      <c r="A244" s="8" t="s">
        <v>260</v>
      </c>
      <c r="D244" s="33">
        <v>3</v>
      </c>
      <c r="E244" s="8">
        <v>7.2</v>
      </c>
      <c r="F244" s="8">
        <v>3.4</v>
      </c>
      <c r="G244" s="8">
        <v>-2.6</v>
      </c>
      <c r="H244" s="8">
        <v>4.5</v>
      </c>
      <c r="I244" s="8">
        <v>6.8</v>
      </c>
      <c r="J244" s="8">
        <v>3.3</v>
      </c>
      <c r="K244" s="8">
        <v>2.5</v>
      </c>
      <c r="L244" s="8">
        <f>5.9-4.5</f>
        <v>1.4000000000000004</v>
      </c>
      <c r="M244" s="8">
        <v>4.5</v>
      </c>
    </row>
    <row r="252" spans="1:16">
      <c r="P252" s="8"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theme="5"/>
  </sheetPr>
  <dimension ref="B2:V338"/>
  <sheetViews>
    <sheetView showGridLines="0" workbookViewId="0">
      <selection activeCell="S21" sqref="S21"/>
    </sheetView>
  </sheetViews>
  <sheetFormatPr defaultColWidth="9.1796875" defaultRowHeight="14.5" outlineLevelRow="1" outlineLevelCol="1"/>
  <cols>
    <col min="1" max="1" width="7.81640625" style="12" customWidth="1"/>
    <col min="2" max="2" width="45.26953125" style="12" customWidth="1"/>
    <col min="3" max="4" width="11.7265625" style="12" customWidth="1"/>
    <col min="5" max="8" width="11.7265625" style="12" hidden="1" customWidth="1" outlineLevel="1"/>
    <col min="9" max="9" width="7.7265625" style="12" customWidth="1" collapsed="1"/>
    <col min="10" max="10" width="7.7265625" style="12" customWidth="1"/>
    <col min="11" max="12" width="10.7265625" style="12" customWidth="1"/>
    <col min="13" max="13" width="6.26953125" bestFit="1" customWidth="1"/>
    <col min="14" max="14" width="10.7265625" customWidth="1"/>
    <col min="15" max="15" width="10.7265625" style="12" customWidth="1"/>
    <col min="16" max="16" width="9.1796875" customWidth="1" outlineLevel="1"/>
    <col min="17" max="17" width="6.7265625" style="12" customWidth="1"/>
    <col min="18" max="18" width="9.1796875" style="12"/>
    <col min="19" max="19" width="9.81640625" style="12" bestFit="1" customWidth="1"/>
    <col min="20" max="16384" width="9.1796875" style="12"/>
  </cols>
  <sheetData>
    <row r="2" spans="2:22" ht="15.75" customHeight="1">
      <c r="B2" s="108" t="s">
        <v>211</v>
      </c>
      <c r="C2" s="108"/>
      <c r="D2" s="108"/>
      <c r="E2" s="108"/>
      <c r="F2" s="108"/>
      <c r="G2" s="43"/>
      <c r="H2" s="43"/>
      <c r="I2" s="43"/>
      <c r="J2" s="43"/>
      <c r="K2" s="22"/>
      <c r="L2" s="22"/>
      <c r="Q2" s="14"/>
      <c r="S2" s="14"/>
      <c r="T2" s="15"/>
    </row>
    <row r="3" spans="2:22" ht="5.25" customHeight="1">
      <c r="B3" s="43"/>
      <c r="C3" s="43"/>
      <c r="D3" s="43"/>
      <c r="E3" s="43"/>
      <c r="F3" s="43"/>
      <c r="M3" s="12"/>
      <c r="N3" s="12"/>
      <c r="P3" s="12"/>
      <c r="T3" s="16"/>
    </row>
    <row r="4" spans="2:22" ht="16.5" customHeight="1">
      <c r="B4" s="49" t="s">
        <v>22</v>
      </c>
      <c r="C4" s="50" t="s">
        <v>271</v>
      </c>
      <c r="D4" s="50" t="s">
        <v>270</v>
      </c>
      <c r="E4" s="50" t="s">
        <v>269</v>
      </c>
      <c r="F4" s="50" t="s">
        <v>264</v>
      </c>
      <c r="G4" s="50" t="s">
        <v>237</v>
      </c>
      <c r="H4" s="50" t="s">
        <v>233</v>
      </c>
      <c r="I4" s="50" t="s">
        <v>38</v>
      </c>
      <c r="J4" s="50" t="s">
        <v>60</v>
      </c>
      <c r="K4" s="50" t="s">
        <v>134</v>
      </c>
      <c r="L4" s="50" t="s">
        <v>159</v>
      </c>
      <c r="N4" s="50" t="s">
        <v>296</v>
      </c>
      <c r="O4" s="50" t="s">
        <v>297</v>
      </c>
      <c r="P4" s="50" t="s">
        <v>60</v>
      </c>
      <c r="Q4" s="50" t="s">
        <v>38</v>
      </c>
      <c r="R4" s="18"/>
      <c r="T4" s="18"/>
    </row>
    <row r="5" spans="2:22" ht="16.5" customHeight="1">
      <c r="B5" t="s">
        <v>0</v>
      </c>
      <c r="C5" s="176" t="e">
        <f>+#REF!</f>
        <v>#REF!</v>
      </c>
      <c r="D5" s="176" t="e">
        <f>#REF!</f>
        <v>#REF!</v>
      </c>
      <c r="E5" s="176" t="e">
        <f>#REF!</f>
        <v>#REF!</v>
      </c>
      <c r="F5" s="176" t="e">
        <f>#REF!</f>
        <v>#REF!</v>
      </c>
      <c r="G5" s="176" t="e">
        <f>#REF!</f>
        <v>#REF!</v>
      </c>
      <c r="H5" s="176" t="e">
        <f>#REF!</f>
        <v>#REF!</v>
      </c>
      <c r="I5" s="58" t="e">
        <f t="shared" ref="I5:I18" si="0">C5/G5-1</f>
        <v>#REF!</v>
      </c>
      <c r="J5" s="183" t="e">
        <f t="shared" ref="J5:J17" si="1">C5-G5</f>
        <v>#REF!</v>
      </c>
      <c r="K5" s="51" t="e">
        <f>#REF!</f>
        <v>#REF!</v>
      </c>
      <c r="L5" s="51" t="e">
        <f>#REF!</f>
        <v>#REF!</v>
      </c>
      <c r="N5" s="51" t="e">
        <f>+SUM(C5:D5)</f>
        <v>#REF!</v>
      </c>
      <c r="O5" s="51">
        <v>12667</v>
      </c>
      <c r="P5" s="61" t="e">
        <f>N5-O5</f>
        <v>#REF!</v>
      </c>
      <c r="Q5" s="57" t="e">
        <f t="shared" ref="Q5:Q18" si="2">N5/O5-1</f>
        <v>#REF!</v>
      </c>
      <c r="R5" s="14"/>
      <c r="S5" s="14" t="e">
        <f>G5-H5</f>
        <v>#REF!</v>
      </c>
      <c r="T5" s="14"/>
      <c r="V5" s="14"/>
    </row>
    <row r="6" spans="2:22" ht="16.5" customHeight="1">
      <c r="B6" t="s">
        <v>72</v>
      </c>
      <c r="C6" s="176" t="e">
        <f>#REF!</f>
        <v>#REF!</v>
      </c>
      <c r="D6" s="176" t="e">
        <f>#REF!</f>
        <v>#REF!</v>
      </c>
      <c r="E6" s="176" t="e">
        <f>#REF!</f>
        <v>#REF!</v>
      </c>
      <c r="F6" s="176" t="e">
        <f>#REF!</f>
        <v>#REF!</v>
      </c>
      <c r="G6" s="176" t="e">
        <f>#REF!</f>
        <v>#REF!</v>
      </c>
      <c r="H6" s="176" t="e">
        <f>#REF!</f>
        <v>#REF!</v>
      </c>
      <c r="I6" s="58" t="e">
        <f t="shared" si="0"/>
        <v>#REF!</v>
      </c>
      <c r="J6" s="183" t="e">
        <f t="shared" si="1"/>
        <v>#REF!</v>
      </c>
      <c r="K6" s="51" t="e">
        <f>#REF!</f>
        <v>#REF!</v>
      </c>
      <c r="L6" s="52" t="e">
        <f>#REF!</f>
        <v>#REF!</v>
      </c>
      <c r="N6" s="51" t="e">
        <f>+SUM(C6:D6)</f>
        <v>#REF!</v>
      </c>
      <c r="O6" s="51">
        <v>134</v>
      </c>
      <c r="P6" s="61" t="e">
        <f t="shared" ref="P6:P21" si="3">N6-O6</f>
        <v>#REF!</v>
      </c>
      <c r="Q6" s="57" t="e">
        <f t="shared" si="2"/>
        <v>#REF!</v>
      </c>
      <c r="S6" s="14" t="e">
        <f>G6-H6</f>
        <v>#REF!</v>
      </c>
      <c r="T6" s="19"/>
    </row>
    <row r="7" spans="2:22" ht="16.5" customHeight="1">
      <c r="B7" t="s">
        <v>1</v>
      </c>
      <c r="C7" s="176" t="e">
        <f>#REF!</f>
        <v>#REF!</v>
      </c>
      <c r="D7" s="176" t="e">
        <f>#REF!</f>
        <v>#REF!</v>
      </c>
      <c r="E7" s="176" t="e">
        <f>#REF!</f>
        <v>#REF!</v>
      </c>
      <c r="F7" s="176" t="e">
        <f>#REF!</f>
        <v>#REF!</v>
      </c>
      <c r="G7" s="176" t="e">
        <f>#REF!</f>
        <v>#REF!</v>
      </c>
      <c r="H7" s="176" t="e">
        <f>#REF!</f>
        <v>#REF!</v>
      </c>
      <c r="I7" s="58" t="e">
        <f t="shared" si="0"/>
        <v>#REF!</v>
      </c>
      <c r="J7" s="183" t="e">
        <f t="shared" si="1"/>
        <v>#REF!</v>
      </c>
      <c r="K7" s="51" t="e">
        <f>#REF!</f>
        <v>#REF!</v>
      </c>
      <c r="L7" s="51" t="e">
        <f>#REF!</f>
        <v>#REF!</v>
      </c>
      <c r="N7" s="51" t="e">
        <f>SUM(C7:D7)</f>
        <v>#REF!</v>
      </c>
      <c r="O7" s="51">
        <v>5298</v>
      </c>
      <c r="P7" s="61" t="e">
        <f t="shared" si="3"/>
        <v>#REF!</v>
      </c>
      <c r="Q7" s="57" t="e">
        <f t="shared" si="2"/>
        <v>#REF!</v>
      </c>
      <c r="S7" s="14" t="e">
        <f>G7-H7</f>
        <v>#REF!</v>
      </c>
    </row>
    <row r="8" spans="2:22" ht="16.5" customHeight="1">
      <c r="B8" t="s">
        <v>2</v>
      </c>
      <c r="C8" s="176" t="e">
        <f>#REF!</f>
        <v>#REF!</v>
      </c>
      <c r="D8" s="176" t="e">
        <f>#REF!</f>
        <v>#REF!</v>
      </c>
      <c r="E8" s="176" t="e">
        <f>#REF!</f>
        <v>#REF!</v>
      </c>
      <c r="F8" s="176" t="e">
        <f>#REF!</f>
        <v>#REF!</v>
      </c>
      <c r="G8" s="176" t="e">
        <f>#REF!</f>
        <v>#REF!</v>
      </c>
      <c r="H8" s="176" t="e">
        <f>#REF!</f>
        <v>#REF!</v>
      </c>
      <c r="I8" s="58" t="e">
        <f t="shared" si="0"/>
        <v>#REF!</v>
      </c>
      <c r="J8" s="183" t="e">
        <f t="shared" si="1"/>
        <v>#REF!</v>
      </c>
      <c r="K8" s="51" t="e">
        <f>#REF!</f>
        <v>#REF!</v>
      </c>
      <c r="L8" s="51" t="e">
        <f>#REF!</f>
        <v>#REF!</v>
      </c>
      <c r="N8" s="51" t="e">
        <f>SUM(C8:D8)</f>
        <v>#REF!</v>
      </c>
      <c r="O8" s="51">
        <v>296</v>
      </c>
      <c r="P8" s="61" t="e">
        <f t="shared" si="3"/>
        <v>#REF!</v>
      </c>
      <c r="Q8" s="57" t="e">
        <f t="shared" si="2"/>
        <v>#REF!</v>
      </c>
      <c r="S8" s="14" t="e">
        <f>G8-H8</f>
        <v>#REF!</v>
      </c>
    </row>
    <row r="9" spans="2:22" ht="16.5" customHeight="1">
      <c r="B9" t="s">
        <v>3</v>
      </c>
      <c r="C9" s="176" t="e">
        <f>#REF!</f>
        <v>#REF!</v>
      </c>
      <c r="D9" s="176" t="e">
        <f>#REF!</f>
        <v>#REF!</v>
      </c>
      <c r="E9" s="176" t="e">
        <f>#REF!</f>
        <v>#REF!</v>
      </c>
      <c r="F9" s="176" t="e">
        <f>#REF!</f>
        <v>#REF!</v>
      </c>
      <c r="G9" s="176" t="e">
        <f>#REF!</f>
        <v>#REF!</v>
      </c>
      <c r="H9" s="176" t="e">
        <f>#REF!</f>
        <v>#REF!</v>
      </c>
      <c r="I9" s="58" t="e">
        <f t="shared" si="0"/>
        <v>#REF!</v>
      </c>
      <c r="J9" s="183" t="e">
        <f t="shared" si="1"/>
        <v>#REF!</v>
      </c>
      <c r="K9" s="51" t="e">
        <f>#REF!</f>
        <v>#REF!</v>
      </c>
      <c r="L9" s="51" t="e">
        <f>#REF!</f>
        <v>#REF!</v>
      </c>
      <c r="N9" s="51" t="e">
        <f>SUM(C9:D9)</f>
        <v>#REF!</v>
      </c>
      <c r="O9" s="51">
        <v>2425</v>
      </c>
      <c r="P9" s="61" t="e">
        <f t="shared" si="3"/>
        <v>#REF!</v>
      </c>
      <c r="Q9" s="57" t="e">
        <f t="shared" si="2"/>
        <v>#REF!</v>
      </c>
      <c r="S9" s="14" t="e">
        <f>G9-H9</f>
        <v>#REF!</v>
      </c>
    </row>
    <row r="10" spans="2:22" ht="16.5" customHeight="1">
      <c r="B10" s="179" t="s">
        <v>4</v>
      </c>
      <c r="C10" s="180" t="e">
        <f t="shared" ref="C10:H10" si="4">+SUM(C7:C9)</f>
        <v>#REF!</v>
      </c>
      <c r="D10" s="180" t="e">
        <f t="shared" si="4"/>
        <v>#REF!</v>
      </c>
      <c r="E10" s="180" t="e">
        <f t="shared" si="4"/>
        <v>#REF!</v>
      </c>
      <c r="F10" s="180" t="e">
        <f t="shared" si="4"/>
        <v>#REF!</v>
      </c>
      <c r="G10" s="180" t="e">
        <f t="shared" si="4"/>
        <v>#REF!</v>
      </c>
      <c r="H10" s="180" t="e">
        <f t="shared" si="4"/>
        <v>#REF!</v>
      </c>
      <c r="I10" s="181" t="e">
        <f t="shared" si="0"/>
        <v>#REF!</v>
      </c>
      <c r="J10" s="182" t="e">
        <f t="shared" si="1"/>
        <v>#REF!</v>
      </c>
      <c r="K10" s="182" t="e">
        <f>+SUM(K7:K9)</f>
        <v>#REF!</v>
      </c>
      <c r="L10" s="182" t="e">
        <f>+SUM(L7:L9)</f>
        <v>#REF!</v>
      </c>
      <c r="N10" s="182" t="e">
        <f>+SUM(N7:N9)</f>
        <v>#REF!</v>
      </c>
      <c r="O10" s="182">
        <f>+SUM(O7:O9)</f>
        <v>8019</v>
      </c>
      <c r="P10" s="182" t="e">
        <f t="shared" si="3"/>
        <v>#REF!</v>
      </c>
      <c r="Q10" s="184" t="e">
        <f t="shared" si="2"/>
        <v>#REF!</v>
      </c>
    </row>
    <row r="11" spans="2:22" ht="16.5" customHeight="1">
      <c r="B11" t="s">
        <v>5</v>
      </c>
      <c r="C11" s="176" t="e">
        <f>#REF!</f>
        <v>#REF!</v>
      </c>
      <c r="D11" s="176" t="e">
        <f>#REF!</f>
        <v>#REF!</v>
      </c>
      <c r="E11" s="176" t="e">
        <f>#REF!</f>
        <v>#REF!</v>
      </c>
      <c r="F11" s="176" t="e">
        <f>#REF!</f>
        <v>#REF!</v>
      </c>
      <c r="G11" s="176" t="e">
        <f>#REF!</f>
        <v>#REF!</v>
      </c>
      <c r="H11" s="176" t="e">
        <f>#REF!</f>
        <v>#REF!</v>
      </c>
      <c r="I11" s="58" t="e">
        <f t="shared" si="0"/>
        <v>#REF!</v>
      </c>
      <c r="J11" s="183" t="e">
        <f t="shared" si="1"/>
        <v>#REF!</v>
      </c>
      <c r="K11" s="51" t="e">
        <f>#REF!</f>
        <v>#REF!</v>
      </c>
      <c r="L11" s="51" t="e">
        <f>#REF!</f>
        <v>#REF!</v>
      </c>
      <c r="N11" s="51" t="e">
        <f>SUM(C11:D11)</f>
        <v>#REF!</v>
      </c>
      <c r="O11" s="51">
        <v>-6679</v>
      </c>
      <c r="P11" s="61" t="e">
        <f t="shared" si="3"/>
        <v>#REF!</v>
      </c>
      <c r="Q11" s="57" t="e">
        <f t="shared" si="2"/>
        <v>#REF!</v>
      </c>
    </row>
    <row r="12" spans="2:22" ht="16.5" customHeight="1">
      <c r="B12" t="s">
        <v>6</v>
      </c>
      <c r="C12" s="176" t="e">
        <f>#REF!</f>
        <v>#REF!</v>
      </c>
      <c r="D12" s="176" t="e">
        <f>#REF!</f>
        <v>#REF!</v>
      </c>
      <c r="E12" s="176" t="e">
        <f>#REF!</f>
        <v>#REF!</v>
      </c>
      <c r="F12" s="176" t="e">
        <f>#REF!</f>
        <v>#REF!</v>
      </c>
      <c r="G12" s="176" t="e">
        <f>#REF!</f>
        <v>#REF!</v>
      </c>
      <c r="H12" s="176" t="e">
        <f>#REF!</f>
        <v>#REF!</v>
      </c>
      <c r="I12" s="58" t="e">
        <f t="shared" si="0"/>
        <v>#REF!</v>
      </c>
      <c r="J12" s="183" t="e">
        <f t="shared" si="1"/>
        <v>#REF!</v>
      </c>
      <c r="K12" s="51" t="e">
        <f>#REF!</f>
        <v>#REF!</v>
      </c>
      <c r="L12" s="51" t="e">
        <f>#REF!</f>
        <v>#REF!</v>
      </c>
      <c r="N12" s="51" t="e">
        <f>SUM(C12:D12)</f>
        <v>#REF!</v>
      </c>
      <c r="O12" s="51">
        <v>-6228</v>
      </c>
      <c r="P12" s="61" t="e">
        <f t="shared" si="3"/>
        <v>#REF!</v>
      </c>
      <c r="Q12" s="57" t="e">
        <f t="shared" si="2"/>
        <v>#REF!</v>
      </c>
    </row>
    <row r="13" spans="2:22" ht="16.5" customHeight="1">
      <c r="B13" t="s">
        <v>72</v>
      </c>
      <c r="C13" s="176" t="e">
        <f>+#REF!</f>
        <v>#REF!</v>
      </c>
      <c r="D13" s="176" t="e">
        <f>+#REF!</f>
        <v>#REF!</v>
      </c>
      <c r="E13" s="176" t="e">
        <f>+#REF!</f>
        <v>#REF!</v>
      </c>
      <c r="F13" s="176" t="e">
        <f>#REF!</f>
        <v>#REF!</v>
      </c>
      <c r="G13" s="176" t="e">
        <f>#REF!</f>
        <v>#REF!</v>
      </c>
      <c r="H13" s="176" t="e">
        <f>+SUM(H5:H6)</f>
        <v>#REF!</v>
      </c>
      <c r="I13" s="58" t="e">
        <f t="shared" si="0"/>
        <v>#REF!</v>
      </c>
      <c r="J13" s="183" t="e">
        <f t="shared" si="1"/>
        <v>#REF!</v>
      </c>
      <c r="K13" s="51" t="e">
        <f>#REF!</f>
        <v>#REF!</v>
      </c>
      <c r="L13" s="51" t="e">
        <f>#REF!</f>
        <v>#REF!</v>
      </c>
      <c r="N13" s="51" t="e">
        <f>SUM(C13:D13)</f>
        <v>#REF!</v>
      </c>
      <c r="O13" s="51"/>
      <c r="P13" s="61" t="e">
        <f>N13-O13</f>
        <v>#REF!</v>
      </c>
      <c r="Q13" s="57" t="e">
        <f>N13/O13-1</f>
        <v>#REF!</v>
      </c>
    </row>
    <row r="14" spans="2:22" ht="16.5" customHeight="1">
      <c r="B14" s="179" t="s">
        <v>7</v>
      </c>
      <c r="C14" s="180" t="e">
        <f t="shared" ref="C14:H14" si="5">+SUM(C10:C13)</f>
        <v>#REF!</v>
      </c>
      <c r="D14" s="180" t="e">
        <f t="shared" si="5"/>
        <v>#REF!</v>
      </c>
      <c r="E14" s="180" t="e">
        <f t="shared" si="5"/>
        <v>#REF!</v>
      </c>
      <c r="F14" s="180" t="e">
        <f t="shared" si="5"/>
        <v>#REF!</v>
      </c>
      <c r="G14" s="180" t="e">
        <f t="shared" si="5"/>
        <v>#REF!</v>
      </c>
      <c r="H14" s="180" t="e">
        <f t="shared" si="5"/>
        <v>#REF!</v>
      </c>
      <c r="I14" s="181" t="e">
        <f t="shared" si="0"/>
        <v>#REF!</v>
      </c>
      <c r="J14" s="182" t="e">
        <f t="shared" si="1"/>
        <v>#REF!</v>
      </c>
      <c r="K14" s="180" t="e">
        <f>+SUM(K10:K13)</f>
        <v>#REF!</v>
      </c>
      <c r="L14" s="180" t="e">
        <f>+SUM(L10:L13)</f>
        <v>#REF!</v>
      </c>
      <c r="N14" s="180" t="e">
        <f>+SUM(N10:N13)</f>
        <v>#REF!</v>
      </c>
      <c r="O14" s="180">
        <f>+SUM(O10:O13)</f>
        <v>-4888</v>
      </c>
      <c r="P14" s="182" t="e">
        <f t="shared" si="3"/>
        <v>#REF!</v>
      </c>
      <c r="Q14" s="184" t="e">
        <f t="shared" si="2"/>
        <v>#REF!</v>
      </c>
    </row>
    <row r="15" spans="2:22" ht="16.5" customHeight="1">
      <c r="B15" t="s">
        <v>42</v>
      </c>
      <c r="C15" s="176" t="e">
        <f>#REF!</f>
        <v>#REF!</v>
      </c>
      <c r="D15" s="176" t="e">
        <f>#REF!</f>
        <v>#REF!</v>
      </c>
      <c r="E15" s="176" t="e">
        <f>#REF!</f>
        <v>#REF!</v>
      </c>
      <c r="F15" s="176" t="e">
        <f>#REF!</f>
        <v>#REF!</v>
      </c>
      <c r="G15" s="176" t="e">
        <f>#REF!</f>
        <v>#REF!</v>
      </c>
      <c r="H15" s="176" t="e">
        <f>#REF!</f>
        <v>#REF!</v>
      </c>
      <c r="I15" s="58" t="e">
        <f t="shared" si="0"/>
        <v>#REF!</v>
      </c>
      <c r="J15" s="183" t="e">
        <f t="shared" si="1"/>
        <v>#REF!</v>
      </c>
      <c r="K15" s="51" t="e">
        <f>#REF!</f>
        <v>#REF!</v>
      </c>
      <c r="L15" s="51" t="e">
        <f>#REF!</f>
        <v>#REF!</v>
      </c>
      <c r="N15" s="51" t="e">
        <f>SUM(C15:D15)</f>
        <v>#REF!</v>
      </c>
      <c r="O15" s="51">
        <v>-2913</v>
      </c>
      <c r="P15" s="61" t="e">
        <f t="shared" si="3"/>
        <v>#REF!</v>
      </c>
      <c r="Q15" s="57" t="e">
        <f t="shared" si="2"/>
        <v>#REF!</v>
      </c>
    </row>
    <row r="16" spans="2:22" ht="16.5" customHeight="1">
      <c r="B16" t="s">
        <v>41</v>
      </c>
      <c r="C16" s="176" t="e">
        <f>#REF!</f>
        <v>#REF!</v>
      </c>
      <c r="D16" s="176" t="e">
        <f>#REF!</f>
        <v>#REF!</v>
      </c>
      <c r="E16" s="176" t="e">
        <f>#REF!</f>
        <v>#REF!</v>
      </c>
      <c r="F16" s="176" t="e">
        <f>#REF!</f>
        <v>#REF!</v>
      </c>
      <c r="G16" s="176" t="e">
        <f>#REF!</f>
        <v>#REF!</v>
      </c>
      <c r="H16" s="176" t="e">
        <f>#REF!</f>
        <v>#REF!</v>
      </c>
      <c r="I16" s="58" t="e">
        <f t="shared" si="0"/>
        <v>#REF!</v>
      </c>
      <c r="J16" s="183" t="e">
        <f t="shared" si="1"/>
        <v>#REF!</v>
      </c>
      <c r="K16" s="51" t="e">
        <f>#REF!</f>
        <v>#REF!</v>
      </c>
      <c r="L16" s="51" t="e">
        <f>#REF!</f>
        <v>#REF!</v>
      </c>
      <c r="N16" s="51" t="e">
        <f>SUM(C16:D16)</f>
        <v>#REF!</v>
      </c>
      <c r="O16" s="51">
        <v>-510</v>
      </c>
      <c r="P16" s="61" t="e">
        <f t="shared" si="3"/>
        <v>#REF!</v>
      </c>
      <c r="Q16" s="57" t="e">
        <f t="shared" si="2"/>
        <v>#REF!</v>
      </c>
    </row>
    <row r="17" spans="2:20" ht="16.5" customHeight="1">
      <c r="B17" t="s">
        <v>157</v>
      </c>
      <c r="C17" s="176" t="e">
        <f>#REF!</f>
        <v>#REF!</v>
      </c>
      <c r="D17" s="176" t="e">
        <f>#REF!</f>
        <v>#REF!</v>
      </c>
      <c r="E17" s="176" t="e">
        <f>#REF!</f>
        <v>#REF!</v>
      </c>
      <c r="F17" s="176" t="e">
        <f>#REF!</f>
        <v>#REF!</v>
      </c>
      <c r="G17" s="176" t="e">
        <f>#REF!</f>
        <v>#REF!</v>
      </c>
      <c r="H17" s="176" t="e">
        <f>#REF!</f>
        <v>#REF!</v>
      </c>
      <c r="I17" s="58" t="e">
        <f t="shared" si="0"/>
        <v>#REF!</v>
      </c>
      <c r="J17" s="183" t="e">
        <f t="shared" si="1"/>
        <v>#REF!</v>
      </c>
      <c r="K17" s="51" t="e">
        <f>#REF!</f>
        <v>#REF!</v>
      </c>
      <c r="L17" s="51" t="e">
        <f>#REF!</f>
        <v>#REF!</v>
      </c>
      <c r="N17" s="51" t="e">
        <f>SUM(C17:D17)</f>
        <v>#REF!</v>
      </c>
      <c r="O17" s="51">
        <v>1379</v>
      </c>
      <c r="P17" s="61" t="e">
        <f t="shared" si="3"/>
        <v>#REF!</v>
      </c>
      <c r="Q17" s="57" t="e">
        <f t="shared" si="2"/>
        <v>#REF!</v>
      </c>
    </row>
    <row r="18" spans="2:20" ht="16.5" customHeight="1">
      <c r="B18" s="179" t="s">
        <v>8</v>
      </c>
      <c r="C18" s="180" t="e">
        <f t="shared" ref="C18:H18" si="6">+SUM(C14:C17)</f>
        <v>#REF!</v>
      </c>
      <c r="D18" s="180" t="e">
        <f t="shared" si="6"/>
        <v>#REF!</v>
      </c>
      <c r="E18" s="180" t="e">
        <f t="shared" si="6"/>
        <v>#REF!</v>
      </c>
      <c r="F18" s="180" t="e">
        <f t="shared" si="6"/>
        <v>#REF!</v>
      </c>
      <c r="G18" s="180" t="e">
        <f t="shared" si="6"/>
        <v>#REF!</v>
      </c>
      <c r="H18" s="180" t="e">
        <f t="shared" si="6"/>
        <v>#REF!</v>
      </c>
      <c r="I18" s="181" t="e">
        <f t="shared" si="0"/>
        <v>#REF!</v>
      </c>
      <c r="J18" s="182" t="e">
        <f>H18-I18</f>
        <v>#REF!</v>
      </c>
      <c r="K18" s="182" t="e">
        <f>+SUM(K14:K17)</f>
        <v>#REF!</v>
      </c>
      <c r="L18" s="182" t="e">
        <f>#REF!</f>
        <v>#REF!</v>
      </c>
      <c r="N18" s="182" t="e">
        <f>+SUM(N14:N17)</f>
        <v>#REF!</v>
      </c>
      <c r="O18" s="182">
        <f>+SUM(O14:O17)</f>
        <v>-6932</v>
      </c>
      <c r="P18" s="182" t="e">
        <f t="shared" si="3"/>
        <v>#REF!</v>
      </c>
      <c r="Q18" s="184" t="e">
        <f t="shared" si="2"/>
        <v>#REF!</v>
      </c>
      <c r="R18" s="25"/>
      <c r="T18" s="25"/>
    </row>
    <row r="19" spans="2:20" ht="13.5" customHeight="1">
      <c r="B19" s="53"/>
      <c r="C19" s="53"/>
      <c r="D19" s="53"/>
      <c r="E19" s="53"/>
      <c r="F19" s="131"/>
      <c r="G19" s="131"/>
      <c r="H19" s="131"/>
      <c r="I19" s="58"/>
      <c r="J19"/>
      <c r="K19" s="53"/>
      <c r="L19" s="53"/>
    </row>
    <row r="20" spans="2:20" ht="16.5" customHeight="1">
      <c r="B20" s="54" t="s">
        <v>96</v>
      </c>
      <c r="C20" s="176" t="e">
        <f>+#REF!</f>
        <v>#REF!</v>
      </c>
      <c r="D20" s="176" t="e">
        <f>+#REF!</f>
        <v>#REF!</v>
      </c>
      <c r="E20" s="54"/>
      <c r="F20" s="178">
        <v>3557</v>
      </c>
      <c r="G20" s="178">
        <v>4440</v>
      </c>
      <c r="H20" s="178">
        <v>1697</v>
      </c>
      <c r="I20" s="132">
        <f>G20/H20-1</f>
        <v>1.6163818503241014</v>
      </c>
      <c r="J20" s="61">
        <f>H20-I20</f>
        <v>1695.3836181496758</v>
      </c>
      <c r="K20" s="55">
        <v>3124</v>
      </c>
      <c r="L20" s="55" t="e">
        <f>#REF!-SUM('P&amp;L_Q (2) old'!H20:K20)</f>
        <v>#REF!</v>
      </c>
      <c r="N20" s="55" t="e">
        <f>#REF!</f>
        <v>#REF!</v>
      </c>
      <c r="O20" s="55" t="e">
        <f>#REF!</f>
        <v>#REF!</v>
      </c>
      <c r="P20" s="110" t="e">
        <f t="shared" si="3"/>
        <v>#REF!</v>
      </c>
      <c r="Q20" s="107" t="e">
        <f>N20/O20-1</f>
        <v>#REF!</v>
      </c>
    </row>
    <row r="21" spans="2:20" ht="16.5" customHeight="1">
      <c r="B21" s="56" t="s">
        <v>97</v>
      </c>
      <c r="C21" s="176" t="e">
        <f>+#REF!</f>
        <v>#REF!</v>
      </c>
      <c r="D21" s="176" t="e">
        <f>+#REF!</f>
        <v>#REF!</v>
      </c>
      <c r="E21" s="56"/>
      <c r="F21" s="176">
        <v>126</v>
      </c>
      <c r="G21" s="176">
        <v>62</v>
      </c>
      <c r="H21" s="176">
        <v>-288</v>
      </c>
      <c r="I21" s="132">
        <f>G21/H21-1</f>
        <v>-1.2152777777777777</v>
      </c>
      <c r="J21" s="61">
        <f>H21-I21</f>
        <v>-286.78472222222223</v>
      </c>
      <c r="K21" s="51">
        <v>164</v>
      </c>
      <c r="L21" s="51" t="e">
        <f>#REF!-SUM('P&amp;L_Q (2) old'!H21:K21)</f>
        <v>#REF!</v>
      </c>
      <c r="N21" s="51" t="e">
        <f>#REF!</f>
        <v>#REF!</v>
      </c>
      <c r="O21" s="51" t="e">
        <f>#REF!</f>
        <v>#REF!</v>
      </c>
      <c r="P21" s="61" t="e">
        <f t="shared" si="3"/>
        <v>#REF!</v>
      </c>
      <c r="Q21" s="57" t="e">
        <f>N21/O21-1</f>
        <v>#REF!</v>
      </c>
    </row>
    <row r="22" spans="2:20" ht="13.5" customHeight="1">
      <c r="B22" s="20"/>
      <c r="C22" s="176"/>
      <c r="D22" s="20"/>
      <c r="E22" s="20"/>
      <c r="F22" s="20"/>
      <c r="G22" s="20"/>
      <c r="H22" s="20"/>
      <c r="I22" s="20"/>
      <c r="J22" s="20"/>
      <c r="K22" s="20"/>
      <c r="L22" s="20"/>
    </row>
    <row r="23" spans="2:20">
      <c r="B23" s="56"/>
      <c r="C23" s="56"/>
      <c r="D23" s="56"/>
      <c r="E23" s="56"/>
      <c r="F23" s="129"/>
      <c r="G23" s="129"/>
      <c r="H23" s="129"/>
      <c r="I23" s="130"/>
      <c r="J23" s="130"/>
      <c r="K23" s="130"/>
      <c r="L23" s="130"/>
      <c r="M23" s="130"/>
      <c r="N23" s="130"/>
      <c r="O23" s="130"/>
      <c r="P23" s="130"/>
      <c r="Q23" s="130"/>
    </row>
    <row r="24" spans="2:20" ht="16.5" customHeight="1">
      <c r="B24" s="49" t="s">
        <v>22</v>
      </c>
      <c r="C24" s="49"/>
      <c r="D24" s="49"/>
      <c r="E24" s="49"/>
      <c r="F24" s="50" t="str">
        <f t="shared" ref="F24:G26" si="7">+N4</f>
        <v>6M 2014</v>
      </c>
      <c r="G24" s="50" t="str">
        <f t="shared" si="7"/>
        <v>6M 2013</v>
      </c>
      <c r="H24" s="50" t="str">
        <f>+Q4</f>
        <v>%</v>
      </c>
      <c r="I24" s="50" t="str">
        <f>+P4</f>
        <v>Diff</v>
      </c>
      <c r="J24" s="50"/>
      <c r="K24" s="129">
        <f>+R4</f>
        <v>0</v>
      </c>
      <c r="L24" s="129"/>
      <c r="O24" s="130"/>
      <c r="P24" s="130"/>
      <c r="Q24" s="130"/>
    </row>
    <row r="25" spans="2:20" ht="16.5" customHeight="1">
      <c r="B25" t="s">
        <v>0</v>
      </c>
      <c r="C25"/>
      <c r="D25"/>
      <c r="E25"/>
      <c r="F25" s="176" t="e">
        <f t="shared" si="7"/>
        <v>#REF!</v>
      </c>
      <c r="G25" s="176">
        <f t="shared" si="7"/>
        <v>12667</v>
      </c>
      <c r="H25" s="58" t="e">
        <f>+Q5</f>
        <v>#REF!</v>
      </c>
      <c r="I25" s="61" t="e">
        <f>+P5</f>
        <v>#REF!</v>
      </c>
      <c r="J25" s="61"/>
      <c r="K25" s="129">
        <f>+R5</f>
        <v>0</v>
      </c>
      <c r="L25" s="129"/>
    </row>
    <row r="26" spans="2:20" ht="16.5" customHeight="1">
      <c r="B26" t="s">
        <v>72</v>
      </c>
      <c r="C26"/>
      <c r="D26"/>
      <c r="E26"/>
      <c r="F26" s="176" t="e">
        <f t="shared" si="7"/>
        <v>#REF!</v>
      </c>
      <c r="G26" s="176">
        <f t="shared" si="7"/>
        <v>134</v>
      </c>
      <c r="H26" s="58" t="s">
        <v>112</v>
      </c>
      <c r="I26" s="61" t="e">
        <f>+P6</f>
        <v>#REF!</v>
      </c>
      <c r="J26" s="61"/>
      <c r="K26" s="129">
        <f>+R6</f>
        <v>0</v>
      </c>
      <c r="L26" s="129"/>
    </row>
    <row r="27" spans="2:20" ht="16.5" hidden="1" customHeight="1" outlineLevel="1">
      <c r="B27" s="49" t="s">
        <v>73</v>
      </c>
      <c r="C27" s="49"/>
      <c r="D27" s="49"/>
      <c r="E27" s="49"/>
      <c r="F27" s="178" t="e">
        <f>+N13</f>
        <v>#REF!</v>
      </c>
      <c r="G27" s="178">
        <f>+O13</f>
        <v>0</v>
      </c>
      <c r="H27" s="58" t="e">
        <f>+Q13</f>
        <v>#REF!</v>
      </c>
      <c r="I27" s="61" t="e">
        <f>+P13</f>
        <v>#REF!</v>
      </c>
      <c r="J27" s="61"/>
      <c r="K27" s="129" t="e">
        <f>+#REF!</f>
        <v>#REF!</v>
      </c>
      <c r="L27" s="129"/>
    </row>
    <row r="28" spans="2:20" ht="16.5" customHeight="1" collapsed="1">
      <c r="B28" t="s">
        <v>1</v>
      </c>
      <c r="C28"/>
      <c r="D28"/>
      <c r="E28"/>
      <c r="F28" s="176" t="e">
        <f t="shared" ref="F28:G33" si="8">+N7</f>
        <v>#REF!</v>
      </c>
      <c r="G28" s="176">
        <f t="shared" si="8"/>
        <v>5298</v>
      </c>
      <c r="H28" s="58" t="e">
        <f t="shared" ref="H28:H33" si="9">+Q7</f>
        <v>#REF!</v>
      </c>
      <c r="I28" s="61" t="e">
        <f t="shared" ref="I28:I33" si="10">+P7</f>
        <v>#REF!</v>
      </c>
      <c r="J28" s="61"/>
      <c r="K28" s="129">
        <f t="shared" ref="K28:K33" si="11">+R7</f>
        <v>0</v>
      </c>
      <c r="L28" s="129"/>
      <c r="O28" s="125"/>
    </row>
    <row r="29" spans="2:20" ht="16.5" customHeight="1">
      <c r="B29" t="s">
        <v>2</v>
      </c>
      <c r="C29"/>
      <c r="D29"/>
      <c r="E29"/>
      <c r="F29" s="176" t="e">
        <f t="shared" si="8"/>
        <v>#REF!</v>
      </c>
      <c r="G29" s="176">
        <f t="shared" si="8"/>
        <v>296</v>
      </c>
      <c r="H29" s="58" t="e">
        <f t="shared" si="9"/>
        <v>#REF!</v>
      </c>
      <c r="I29" s="61" t="e">
        <f t="shared" si="10"/>
        <v>#REF!</v>
      </c>
      <c r="J29" s="61"/>
      <c r="K29" s="129">
        <f t="shared" si="11"/>
        <v>0</v>
      </c>
      <c r="L29" s="129"/>
      <c r="O29" s="125"/>
    </row>
    <row r="30" spans="2:20" ht="16.5" customHeight="1">
      <c r="B30" t="s">
        <v>3</v>
      </c>
      <c r="C30"/>
      <c r="D30"/>
      <c r="E30"/>
      <c r="F30" s="176" t="e">
        <f t="shared" si="8"/>
        <v>#REF!</v>
      </c>
      <c r="G30" s="176">
        <f t="shared" si="8"/>
        <v>2425</v>
      </c>
      <c r="H30" s="58" t="e">
        <f t="shared" si="9"/>
        <v>#REF!</v>
      </c>
      <c r="I30" s="61" t="e">
        <f t="shared" si="10"/>
        <v>#REF!</v>
      </c>
      <c r="J30" s="61"/>
      <c r="K30" s="129">
        <f t="shared" si="11"/>
        <v>0</v>
      </c>
      <c r="L30" s="129"/>
    </row>
    <row r="31" spans="2:20" ht="16.5" customHeight="1">
      <c r="B31" s="111" t="s">
        <v>4</v>
      </c>
      <c r="C31" s="111"/>
      <c r="D31" s="111"/>
      <c r="E31" s="111"/>
      <c r="F31" s="177" t="e">
        <f t="shared" si="8"/>
        <v>#REF!</v>
      </c>
      <c r="G31" s="177">
        <f t="shared" si="8"/>
        <v>8019</v>
      </c>
      <c r="H31" s="115" t="e">
        <f t="shared" si="9"/>
        <v>#REF!</v>
      </c>
      <c r="I31" s="112" t="e">
        <f t="shared" si="10"/>
        <v>#REF!</v>
      </c>
      <c r="J31" s="112"/>
      <c r="K31" s="129">
        <f t="shared" si="11"/>
        <v>0</v>
      </c>
      <c r="L31" s="129"/>
    </row>
    <row r="32" spans="2:20" ht="16.5" customHeight="1">
      <c r="B32" t="s">
        <v>5</v>
      </c>
      <c r="C32"/>
      <c r="D32"/>
      <c r="E32"/>
      <c r="F32" s="176" t="e">
        <f t="shared" si="8"/>
        <v>#REF!</v>
      </c>
      <c r="G32" s="176">
        <f t="shared" si="8"/>
        <v>-6679</v>
      </c>
      <c r="H32" s="58" t="e">
        <f t="shared" si="9"/>
        <v>#REF!</v>
      </c>
      <c r="I32" s="61" t="e">
        <f t="shared" si="10"/>
        <v>#REF!</v>
      </c>
      <c r="J32" s="61"/>
      <c r="K32" s="129">
        <f t="shared" si="11"/>
        <v>0</v>
      </c>
      <c r="L32" s="129"/>
    </row>
    <row r="33" spans="2:18" ht="16.5" customHeight="1">
      <c r="B33" t="s">
        <v>6</v>
      </c>
      <c r="C33"/>
      <c r="D33"/>
      <c r="E33"/>
      <c r="F33" s="176" t="e">
        <f t="shared" si="8"/>
        <v>#REF!</v>
      </c>
      <c r="G33" s="176">
        <f t="shared" si="8"/>
        <v>-6228</v>
      </c>
      <c r="H33" s="58" t="e">
        <f t="shared" si="9"/>
        <v>#REF!</v>
      </c>
      <c r="I33" s="61" t="e">
        <f t="shared" si="10"/>
        <v>#REF!</v>
      </c>
      <c r="J33" s="61"/>
      <c r="K33" s="129">
        <f t="shared" si="11"/>
        <v>0</v>
      </c>
      <c r="L33" s="129"/>
      <c r="Q33" s="14"/>
    </row>
    <row r="34" spans="2:18" ht="16.5" customHeight="1">
      <c r="B34" s="111" t="s">
        <v>7</v>
      </c>
      <c r="C34" s="111"/>
      <c r="D34" s="111"/>
      <c r="E34" s="111"/>
      <c r="F34" s="177" t="e">
        <f t="shared" ref="F34:F40" si="12">+N14</f>
        <v>#REF!</v>
      </c>
      <c r="G34" s="177">
        <f t="shared" ref="G34:G40" si="13">+O14</f>
        <v>-4888</v>
      </c>
      <c r="H34" s="115" t="e">
        <f>+Q14</f>
        <v>#REF!</v>
      </c>
      <c r="I34" s="112" t="e">
        <f t="shared" ref="I34:I40" si="14">+P14</f>
        <v>#REF!</v>
      </c>
      <c r="J34" s="112"/>
      <c r="K34" s="129">
        <f t="shared" ref="K34:K40" si="15">+R14</f>
        <v>0</v>
      </c>
      <c r="L34" s="129"/>
      <c r="Q34" s="14"/>
    </row>
    <row r="35" spans="2:18" ht="16.5" customHeight="1">
      <c r="B35" t="s">
        <v>42</v>
      </c>
      <c r="C35"/>
      <c r="D35"/>
      <c r="E35"/>
      <c r="F35" s="176" t="e">
        <f t="shared" si="12"/>
        <v>#REF!</v>
      </c>
      <c r="G35" s="176">
        <f t="shared" si="13"/>
        <v>-2913</v>
      </c>
      <c r="H35" s="58" t="e">
        <f>+Q15</f>
        <v>#REF!</v>
      </c>
      <c r="I35" s="61" t="e">
        <f t="shared" si="14"/>
        <v>#REF!</v>
      </c>
      <c r="J35" s="61"/>
      <c r="K35" s="129">
        <f t="shared" si="15"/>
        <v>0</v>
      </c>
      <c r="L35" s="129"/>
      <c r="O35" s="29"/>
      <c r="Q35" s="21"/>
    </row>
    <row r="36" spans="2:18" ht="16.5" customHeight="1">
      <c r="B36" t="s">
        <v>41</v>
      </c>
      <c r="C36"/>
      <c r="D36"/>
      <c r="E36"/>
      <c r="F36" s="176" t="e">
        <f t="shared" si="12"/>
        <v>#REF!</v>
      </c>
      <c r="G36" s="176">
        <f t="shared" si="13"/>
        <v>-510</v>
      </c>
      <c r="H36" s="58" t="e">
        <f>+Q16</f>
        <v>#REF!</v>
      </c>
      <c r="I36" s="61" t="e">
        <f t="shared" si="14"/>
        <v>#REF!</v>
      </c>
      <c r="J36" s="61"/>
      <c r="K36" s="129">
        <f t="shared" si="15"/>
        <v>0</v>
      </c>
      <c r="L36" s="129"/>
      <c r="Q36" s="126"/>
    </row>
    <row r="37" spans="2:18" ht="16.5" customHeight="1">
      <c r="B37" t="s">
        <v>157</v>
      </c>
      <c r="C37"/>
      <c r="D37"/>
      <c r="E37"/>
      <c r="F37" s="176" t="e">
        <f t="shared" si="12"/>
        <v>#REF!</v>
      </c>
      <c r="G37" s="176">
        <f t="shared" si="13"/>
        <v>1379</v>
      </c>
      <c r="H37" s="57" t="s">
        <v>112</v>
      </c>
      <c r="I37" s="61" t="e">
        <f t="shared" si="14"/>
        <v>#REF!</v>
      </c>
      <c r="J37" s="61"/>
      <c r="K37" s="129">
        <f t="shared" si="15"/>
        <v>0</v>
      </c>
      <c r="L37" s="129"/>
      <c r="Q37" s="126"/>
    </row>
    <row r="38" spans="2:18" ht="16.5" customHeight="1">
      <c r="B38" s="111" t="s">
        <v>8</v>
      </c>
      <c r="C38" s="111"/>
      <c r="D38" s="111"/>
      <c r="E38" s="111"/>
      <c r="F38" s="177" t="e">
        <f t="shared" si="12"/>
        <v>#REF!</v>
      </c>
      <c r="G38" s="177">
        <f t="shared" si="13"/>
        <v>-6932</v>
      </c>
      <c r="H38" s="115" t="e">
        <f>+Q18</f>
        <v>#REF!</v>
      </c>
      <c r="I38" s="112" t="e">
        <f t="shared" si="14"/>
        <v>#REF!</v>
      </c>
      <c r="J38" s="112"/>
      <c r="K38" s="129">
        <f t="shared" si="15"/>
        <v>0</v>
      </c>
      <c r="L38" s="129"/>
      <c r="O38" s="30"/>
      <c r="Q38" s="127"/>
    </row>
    <row r="39" spans="2:18" ht="16.5" customHeight="1">
      <c r="B39" s="53"/>
      <c r="C39" s="53"/>
      <c r="D39" s="53"/>
      <c r="E39" s="53"/>
      <c r="F39"/>
      <c r="I39">
        <f t="shared" si="14"/>
        <v>0</v>
      </c>
      <c r="J39"/>
      <c r="K39" s="129">
        <f t="shared" si="15"/>
        <v>0</v>
      </c>
      <c r="L39" s="129"/>
    </row>
    <row r="40" spans="2:18" ht="16.5" customHeight="1">
      <c r="B40" s="54" t="s">
        <v>96</v>
      </c>
      <c r="C40" s="54"/>
      <c r="D40" s="54"/>
      <c r="E40" s="54"/>
      <c r="F40" s="178" t="e">
        <f t="shared" si="12"/>
        <v>#REF!</v>
      </c>
      <c r="G40" s="178" t="e">
        <f t="shared" si="13"/>
        <v>#REF!</v>
      </c>
      <c r="H40" s="60" t="e">
        <f>+Q20</f>
        <v>#REF!</v>
      </c>
      <c r="I40" s="110" t="e">
        <f t="shared" si="14"/>
        <v>#REF!</v>
      </c>
      <c r="J40" s="110"/>
      <c r="K40" s="129">
        <f t="shared" si="15"/>
        <v>0</v>
      </c>
      <c r="L40" s="129"/>
    </row>
    <row r="41" spans="2:18" ht="16.5" customHeight="1">
      <c r="B41" s="56" t="s">
        <v>97</v>
      </c>
      <c r="C41" s="56"/>
      <c r="D41" s="56"/>
      <c r="E41" s="56"/>
      <c r="F41" s="176" t="e">
        <f>+N21</f>
        <v>#REF!</v>
      </c>
      <c r="G41" s="176" t="e">
        <f>+O21</f>
        <v>#REF!</v>
      </c>
      <c r="H41" s="51" t="s">
        <v>112</v>
      </c>
      <c r="I41" s="57"/>
      <c r="J41" s="57"/>
      <c r="K41" s="14"/>
      <c r="L41" s="14"/>
      <c r="M41" s="57"/>
      <c r="O41" s="14"/>
    </row>
    <row r="42" spans="2:18" ht="13.5" customHeight="1">
      <c r="H42" s="14"/>
      <c r="I42" s="14"/>
      <c r="J42" s="14"/>
      <c r="K42" s="14"/>
      <c r="L42" s="14"/>
      <c r="O42" s="14"/>
    </row>
    <row r="43" spans="2:18" ht="13.5" customHeight="1">
      <c r="H43" s="14"/>
      <c r="I43" s="14"/>
      <c r="J43" s="14"/>
      <c r="K43" s="14"/>
      <c r="L43" s="14"/>
      <c r="O43" s="14"/>
    </row>
    <row r="44" spans="2:18" ht="13.5" customHeight="1">
      <c r="H44" s="23"/>
      <c r="I44" s="23"/>
      <c r="J44" s="23"/>
      <c r="K44" s="23"/>
      <c r="L44" s="23"/>
      <c r="O44" s="17"/>
      <c r="Q44" s="17"/>
      <c r="R44" s="18"/>
    </row>
    <row r="45" spans="2:18" ht="13.5" customHeight="1">
      <c r="H45" s="24"/>
      <c r="I45" s="24"/>
      <c r="J45" s="24"/>
      <c r="K45" s="24"/>
      <c r="L45" s="24"/>
      <c r="O45" s="29"/>
      <c r="Q45" s="29"/>
      <c r="R45" s="30"/>
    </row>
    <row r="46" spans="2:18" ht="13.5" customHeight="1">
      <c r="H46" s="24"/>
      <c r="I46" s="24"/>
      <c r="J46" s="24"/>
      <c r="K46" s="24"/>
      <c r="L46" s="24"/>
      <c r="O46" s="14"/>
      <c r="Q46" s="29"/>
    </row>
    <row r="47" spans="2:18" ht="13.5" customHeight="1">
      <c r="H47" s="23"/>
      <c r="I47" s="23"/>
      <c r="J47" s="23"/>
      <c r="K47" s="23"/>
      <c r="L47" s="23"/>
      <c r="O47" s="118"/>
    </row>
    <row r="48" spans="2:18" ht="13.5" customHeight="1">
      <c r="H48" s="23"/>
      <c r="I48" s="23"/>
      <c r="J48" s="23"/>
      <c r="K48" s="23"/>
      <c r="L48" s="23"/>
    </row>
    <row r="49" spans="2:17" ht="13.5" customHeight="1">
      <c r="O49" s="13"/>
    </row>
    <row r="50" spans="2:17">
      <c r="O50" s="29"/>
    </row>
    <row r="51" spans="2:17">
      <c r="O51" s="29"/>
    </row>
    <row r="52" spans="2:17">
      <c r="G52" s="23"/>
      <c r="H52" s="23"/>
      <c r="I52" s="23"/>
      <c r="J52" s="23"/>
      <c r="K52" s="23"/>
      <c r="L52" s="23"/>
      <c r="O52" s="29"/>
      <c r="Q52" s="14"/>
    </row>
    <row r="53" spans="2:17">
      <c r="G53" s="23"/>
      <c r="H53" s="23"/>
      <c r="I53" s="23"/>
      <c r="J53" s="23"/>
      <c r="K53" s="23"/>
      <c r="L53" s="23"/>
      <c r="O53" s="29"/>
    </row>
    <row r="54" spans="2:17">
      <c r="G54" s="23"/>
      <c r="H54" s="23"/>
      <c r="I54" s="23"/>
      <c r="J54" s="23"/>
      <c r="K54" s="23"/>
      <c r="L54" s="23"/>
      <c r="O54" s="29"/>
    </row>
    <row r="55" spans="2:17">
      <c r="G55" s="23"/>
      <c r="H55" s="23"/>
      <c r="I55" s="23"/>
      <c r="J55" s="23"/>
      <c r="K55" s="23"/>
      <c r="L55" s="23"/>
    </row>
    <row r="56" spans="2:17">
      <c r="G56" s="23"/>
      <c r="H56" s="23"/>
      <c r="I56" s="23"/>
      <c r="J56" s="23"/>
      <c r="K56" s="23"/>
      <c r="L56" s="23"/>
    </row>
    <row r="59" spans="2:17">
      <c r="G59" s="118"/>
      <c r="H59" s="118"/>
      <c r="I59" s="118"/>
      <c r="J59" s="118"/>
      <c r="K59" s="118"/>
    </row>
    <row r="60" spans="2:17" ht="12" customHeight="1"/>
    <row r="61" spans="2:17" ht="12" customHeight="1">
      <c r="K61" s="18"/>
      <c r="L61" s="18"/>
    </row>
    <row r="62" spans="2:17" ht="12" customHeight="1">
      <c r="B62" s="16"/>
      <c r="C62" s="16"/>
      <c r="D62" s="16"/>
      <c r="E62" s="16"/>
      <c r="F62" s="16"/>
      <c r="K62" s="124"/>
      <c r="L62" s="119"/>
      <c r="M62" s="12"/>
      <c r="N62" s="12"/>
      <c r="P62" s="12"/>
    </row>
    <row r="63" spans="2:17" ht="12" customHeight="1">
      <c r="M63" s="12"/>
      <c r="N63" s="12"/>
      <c r="P63" s="12"/>
    </row>
    <row r="64" spans="2:17" ht="12" customHeight="1">
      <c r="M64" s="12"/>
      <c r="N64" s="12"/>
      <c r="P64" s="12"/>
    </row>
    <row r="65" spans="2:20" ht="12" customHeight="1">
      <c r="M65" s="12"/>
      <c r="N65" s="12"/>
      <c r="P65" s="12"/>
    </row>
    <row r="66" spans="2:20" ht="12" customHeight="1">
      <c r="B66" s="43"/>
      <c r="C66" s="43"/>
      <c r="D66" s="43"/>
      <c r="E66" s="43"/>
      <c r="F66" s="43"/>
      <c r="M66" s="12"/>
      <c r="N66" s="12"/>
      <c r="O66" s="14"/>
      <c r="P66" s="12"/>
      <c r="Q66" s="14"/>
    </row>
    <row r="67" spans="2:20" ht="12" customHeight="1">
      <c r="B67" s="43"/>
      <c r="C67" s="43"/>
      <c r="D67" s="43"/>
      <c r="E67" s="43"/>
      <c r="F67" s="43"/>
      <c r="M67" s="12"/>
      <c r="N67" s="12"/>
      <c r="O67" s="14"/>
      <c r="P67" s="12"/>
      <c r="Q67" s="14"/>
    </row>
    <row r="68" spans="2:20" ht="12" customHeight="1">
      <c r="B68" s="43"/>
      <c r="C68" s="43"/>
      <c r="D68" s="43"/>
      <c r="E68" s="43"/>
      <c r="F68" s="43"/>
      <c r="M68" s="12"/>
      <c r="N68" s="12"/>
      <c r="P68" s="12"/>
    </row>
    <row r="69" spans="2:20" ht="12" customHeight="1">
      <c r="B69" s="28"/>
      <c r="C69" s="28"/>
      <c r="D69" s="28"/>
      <c r="E69" s="28"/>
      <c r="F69" s="28"/>
      <c r="M69" s="12"/>
      <c r="N69" s="12"/>
      <c r="O69" s="18"/>
      <c r="P69" s="12"/>
      <c r="Q69" s="18"/>
    </row>
    <row r="70" spans="2:20" ht="12" customHeight="1">
      <c r="L70" s="23"/>
      <c r="M70" s="12"/>
      <c r="N70" s="12"/>
      <c r="O70" s="14"/>
      <c r="P70" s="12"/>
      <c r="Q70" s="14"/>
      <c r="S70" s="14"/>
      <c r="T70" s="14"/>
    </row>
    <row r="71" spans="2:20" ht="12" customHeight="1">
      <c r="L71" s="23"/>
      <c r="M71" s="12"/>
      <c r="N71" s="12"/>
      <c r="O71" s="14"/>
      <c r="P71" s="12"/>
      <c r="Q71" s="29"/>
    </row>
    <row r="72" spans="2:20" ht="12" customHeight="1">
      <c r="L72" s="23"/>
      <c r="M72" s="12"/>
      <c r="N72" s="12"/>
      <c r="O72" s="14"/>
      <c r="P72" s="12"/>
      <c r="Q72" s="29"/>
    </row>
    <row r="73" spans="2:20" ht="12" customHeight="1">
      <c r="L73" s="23"/>
      <c r="M73" s="12"/>
      <c r="N73" s="12"/>
      <c r="O73" s="14"/>
      <c r="P73" s="12"/>
      <c r="Q73" s="29"/>
    </row>
    <row r="74" spans="2:20" ht="12" customHeight="1">
      <c r="L74" s="23"/>
      <c r="M74" s="12"/>
      <c r="N74" s="12"/>
      <c r="O74" s="14"/>
      <c r="P74" s="12"/>
      <c r="Q74" s="29"/>
    </row>
    <row r="75" spans="2:20" ht="12" customHeight="1">
      <c r="L75" s="23"/>
      <c r="M75" s="12"/>
      <c r="N75" s="12"/>
      <c r="O75" s="21"/>
      <c r="P75" s="12"/>
      <c r="Q75" s="30"/>
    </row>
    <row r="76" spans="2:20" ht="12" customHeight="1">
      <c r="B76" s="22"/>
      <c r="C76" s="22"/>
      <c r="D76" s="22"/>
      <c r="E76" s="22"/>
      <c r="F76" s="22"/>
      <c r="L76" s="23"/>
      <c r="M76" s="12"/>
      <c r="N76" s="12"/>
      <c r="P76" s="12"/>
    </row>
    <row r="77" spans="2:20" ht="12" customHeight="1">
      <c r="M77" s="12"/>
      <c r="N77" s="12"/>
      <c r="P77" s="12"/>
    </row>
    <row r="78" spans="2:20" ht="12" customHeight="1">
      <c r="B78" s="16"/>
      <c r="C78" s="16"/>
      <c r="D78" s="16"/>
      <c r="E78" s="16"/>
      <c r="F78" s="16"/>
      <c r="G78" s="14"/>
      <c r="H78" s="14"/>
      <c r="I78" s="14"/>
      <c r="J78" s="14"/>
      <c r="K78" s="124"/>
      <c r="L78" s="124"/>
      <c r="M78" s="12"/>
      <c r="N78" s="12"/>
      <c r="P78" s="12"/>
    </row>
    <row r="79" spans="2:20" ht="12" customHeight="1">
      <c r="B79" s="22"/>
      <c r="C79" s="22"/>
      <c r="D79" s="22"/>
      <c r="E79" s="22"/>
      <c r="F79" s="22"/>
      <c r="G79" s="23"/>
      <c r="H79" s="23"/>
      <c r="I79" s="23"/>
      <c r="J79" s="23"/>
      <c r="K79" s="23"/>
      <c r="M79" s="12"/>
      <c r="N79" s="12"/>
      <c r="P79" s="12"/>
    </row>
    <row r="80" spans="2:20" ht="12" customHeight="1">
      <c r="M80" s="12"/>
      <c r="N80" s="12"/>
      <c r="P80" s="12"/>
    </row>
    <row r="81" spans="2:16" ht="12" customHeight="1">
      <c r="G81" s="23"/>
      <c r="H81" s="23"/>
      <c r="I81" s="23"/>
      <c r="J81" s="23"/>
      <c r="K81" s="23"/>
      <c r="M81" s="12"/>
      <c r="N81" s="12"/>
      <c r="P81" s="12"/>
    </row>
    <row r="82" spans="2:16" ht="12" customHeight="1">
      <c r="G82" s="123"/>
      <c r="H82" s="123"/>
      <c r="I82" s="123"/>
      <c r="J82" s="123"/>
      <c r="K82" s="123"/>
      <c r="M82" s="12"/>
      <c r="N82" s="12"/>
      <c r="P82" s="12"/>
    </row>
    <row r="83" spans="2:16" ht="12" customHeight="1">
      <c r="G83" s="123"/>
      <c r="H83" s="123"/>
      <c r="I83" s="123"/>
      <c r="J83" s="123"/>
      <c r="K83" s="123"/>
      <c r="M83" s="12"/>
      <c r="N83" s="12"/>
      <c r="P83" s="12"/>
    </row>
    <row r="84" spans="2:16" ht="12" customHeight="1">
      <c r="B84" s="22"/>
      <c r="C84" s="22"/>
      <c r="D84" s="22"/>
      <c r="E84" s="22"/>
      <c r="F84" s="22"/>
      <c r="G84" s="23"/>
      <c r="H84" s="23"/>
      <c r="I84" s="23"/>
      <c r="J84" s="23"/>
      <c r="K84" s="23"/>
      <c r="M84" s="12"/>
      <c r="N84" s="12"/>
      <c r="P84" s="12"/>
    </row>
    <row r="85" spans="2:16" ht="12" customHeight="1">
      <c r="B85" s="20"/>
      <c r="C85" s="20"/>
      <c r="D85" s="20"/>
      <c r="E85" s="20"/>
      <c r="F85" s="20"/>
      <c r="M85" s="12"/>
      <c r="N85" s="12"/>
      <c r="P85" s="12"/>
    </row>
    <row r="86" spans="2:16" ht="12" customHeight="1">
      <c r="M86" s="12"/>
      <c r="N86" s="12"/>
      <c r="P86" s="12"/>
    </row>
    <row r="87" spans="2:16" ht="12" customHeight="1">
      <c r="B87" s="43"/>
      <c r="C87" s="43"/>
      <c r="D87" s="43"/>
      <c r="E87" s="43"/>
      <c r="F87" s="43"/>
      <c r="M87" s="12"/>
      <c r="N87" s="12"/>
      <c r="P87" s="12"/>
    </row>
    <row r="88" spans="2:16" ht="12" customHeight="1">
      <c r="M88" s="12"/>
      <c r="N88" s="12"/>
      <c r="P88" s="12"/>
    </row>
    <row r="89" spans="2:16" ht="12" customHeight="1">
      <c r="M89" s="12"/>
      <c r="N89" s="12"/>
      <c r="P89" s="12"/>
    </row>
    <row r="90" spans="2:16" ht="12" customHeight="1">
      <c r="M90" s="12"/>
      <c r="N90" s="12"/>
      <c r="P90" s="12"/>
    </row>
    <row r="91" spans="2:16" ht="12" customHeight="1">
      <c r="M91" s="12"/>
      <c r="N91" s="12"/>
      <c r="P91" s="12"/>
    </row>
    <row r="92" spans="2:16" ht="12" customHeight="1">
      <c r="M92" s="12"/>
      <c r="N92" s="12"/>
      <c r="P92" s="12"/>
    </row>
    <row r="93" spans="2:16" ht="12" customHeight="1">
      <c r="M93" s="12"/>
      <c r="N93" s="12"/>
      <c r="P93" s="12"/>
    </row>
    <row r="94" spans="2:16" ht="12" customHeight="1">
      <c r="B94" s="16"/>
      <c r="C94" s="16"/>
      <c r="D94" s="16"/>
      <c r="E94" s="16"/>
      <c r="F94" s="16"/>
      <c r="K94" s="124"/>
      <c r="L94" s="119"/>
      <c r="M94" s="12"/>
      <c r="N94" s="12"/>
      <c r="P94" s="12"/>
    </row>
    <row r="95" spans="2:16" ht="12" customHeight="1">
      <c r="M95" s="12"/>
      <c r="N95" s="12"/>
      <c r="P95" s="12"/>
    </row>
    <row r="96" spans="2:16" ht="12" customHeight="1">
      <c r="M96" s="12"/>
      <c r="N96" s="12"/>
      <c r="P96" s="12"/>
    </row>
    <row r="97" s="12" customFormat="1" ht="12" customHeight="1"/>
    <row r="98" s="12" customFormat="1" ht="12" customHeight="1"/>
    <row r="99" s="12" customFormat="1" ht="12" customHeight="1"/>
    <row r="100" s="12" customFormat="1" ht="12" customHeight="1"/>
    <row r="101" s="12" customFormat="1" ht="12" customHeight="1"/>
    <row r="102" s="12" customFormat="1" ht="12" customHeight="1"/>
    <row r="103" s="12" customFormat="1" ht="12" customHeight="1"/>
    <row r="104" s="12" customFormat="1" ht="12" customHeight="1"/>
    <row r="105" s="12" customFormat="1" ht="12" customHeight="1"/>
    <row r="106" s="12" customFormat="1" ht="12" customHeight="1"/>
    <row r="107" s="12" customFormat="1" ht="12" customHeight="1"/>
    <row r="108" s="12" customFormat="1" ht="12" customHeight="1"/>
    <row r="109" s="12" customFormat="1" ht="12" customHeight="1"/>
    <row r="110" s="12" customFormat="1" ht="12" customHeight="1"/>
    <row r="111" s="12" customFormat="1" ht="12" customHeight="1"/>
    <row r="112" s="12" customFormat="1" ht="12" customHeight="1"/>
    <row r="113" spans="2:16" ht="12" customHeight="1">
      <c r="B113" s="16"/>
      <c r="C113" s="16"/>
      <c r="D113" s="16"/>
      <c r="E113" s="16"/>
      <c r="F113" s="16"/>
      <c r="K113" s="14"/>
      <c r="L113" s="14"/>
      <c r="M113" s="12"/>
      <c r="N113" s="12"/>
      <c r="P113" s="12"/>
    </row>
    <row r="114" spans="2:16" ht="12" customHeight="1">
      <c r="M114" s="12"/>
      <c r="N114" s="12"/>
      <c r="P114" s="12"/>
    </row>
    <row r="115" spans="2:16" ht="12" customHeight="1">
      <c r="M115" s="12"/>
      <c r="N115" s="12"/>
      <c r="P115" s="12"/>
    </row>
    <row r="116" spans="2:16" ht="11.5">
      <c r="M116" s="12"/>
      <c r="N116" s="12"/>
      <c r="P116" s="12"/>
    </row>
    <row r="117" spans="2:16" ht="11.5">
      <c r="M117" s="12"/>
      <c r="N117" s="12"/>
      <c r="P117" s="12"/>
    </row>
    <row r="118" spans="2:16" ht="11.5">
      <c r="M118" s="12"/>
      <c r="N118" s="12"/>
      <c r="P118" s="12"/>
    </row>
    <row r="119" spans="2:16" ht="11.5">
      <c r="M119" s="12"/>
      <c r="N119" s="12"/>
      <c r="P119" s="12"/>
    </row>
    <row r="120" spans="2:16" ht="11.5">
      <c r="M120" s="12"/>
      <c r="N120" s="12"/>
      <c r="P120" s="12"/>
    </row>
    <row r="121" spans="2:16" ht="11.5">
      <c r="M121" s="12"/>
      <c r="N121" s="12"/>
      <c r="P121" s="12"/>
    </row>
    <row r="122" spans="2:16" ht="11.5">
      <c r="M122" s="12"/>
      <c r="N122" s="12"/>
      <c r="P122" s="12"/>
    </row>
    <row r="123" spans="2:16" ht="11.5">
      <c r="M123" s="12"/>
      <c r="N123" s="12"/>
      <c r="P123" s="12"/>
    </row>
    <row r="124" spans="2:16" ht="11.5">
      <c r="M124" s="12"/>
      <c r="N124" s="12"/>
      <c r="P124" s="12"/>
    </row>
    <row r="125" spans="2:16" ht="11.5">
      <c r="M125" s="12"/>
      <c r="N125" s="12"/>
      <c r="P125" s="12"/>
    </row>
    <row r="126" spans="2:16" ht="11.5">
      <c r="M126" s="12"/>
      <c r="N126" s="12"/>
      <c r="P126" s="12"/>
    </row>
    <row r="127" spans="2:16" ht="11.5">
      <c r="M127" s="12"/>
      <c r="N127" s="12"/>
      <c r="P127" s="12"/>
    </row>
    <row r="128" spans="2:16" ht="11.5">
      <c r="M128" s="12"/>
      <c r="N128" s="12"/>
      <c r="P128" s="12"/>
    </row>
    <row r="129" spans="2:16" ht="11.5">
      <c r="B129" s="16"/>
      <c r="C129" s="16"/>
      <c r="D129" s="16"/>
      <c r="E129" s="16"/>
      <c r="F129" s="16"/>
      <c r="K129" s="25"/>
      <c r="L129" s="25"/>
      <c r="M129" s="12"/>
      <c r="N129" s="12"/>
      <c r="P129" s="12"/>
    </row>
    <row r="130" spans="2:16" ht="11.5">
      <c r="K130" s="124"/>
      <c r="L130" s="124"/>
      <c r="M130" s="12"/>
      <c r="N130" s="12"/>
      <c r="P130" s="12"/>
    </row>
    <row r="131" spans="2:16" ht="11.5">
      <c r="M131" s="12"/>
      <c r="N131" s="12"/>
      <c r="P131" s="12"/>
    </row>
    <row r="132" spans="2:16" ht="11.5">
      <c r="M132" s="12"/>
      <c r="N132" s="12"/>
      <c r="P132" s="12"/>
    </row>
    <row r="133" spans="2:16" ht="11.5">
      <c r="M133" s="12"/>
      <c r="N133" s="12"/>
      <c r="P133" s="12"/>
    </row>
    <row r="134" spans="2:16" ht="11.5">
      <c r="M134" s="12"/>
      <c r="N134" s="12"/>
      <c r="P134" s="12"/>
    </row>
    <row r="135" spans="2:16" ht="11.5">
      <c r="M135" s="12"/>
      <c r="N135" s="12"/>
      <c r="P135" s="12"/>
    </row>
    <row r="136" spans="2:16" ht="11.5">
      <c r="M136" s="12"/>
      <c r="N136" s="12"/>
      <c r="P136" s="12"/>
    </row>
    <row r="137" spans="2:16" ht="11.5">
      <c r="M137" s="12"/>
      <c r="N137" s="12"/>
      <c r="P137" s="12"/>
    </row>
    <row r="138" spans="2:16" ht="11.5">
      <c r="M138" s="12"/>
      <c r="N138" s="12"/>
      <c r="P138" s="12"/>
    </row>
    <row r="139" spans="2:16" ht="11.5">
      <c r="M139" s="12"/>
      <c r="N139" s="12"/>
      <c r="P139" s="12"/>
    </row>
    <row r="140" spans="2:16" ht="11.5">
      <c r="M140" s="12"/>
      <c r="N140" s="12"/>
      <c r="P140" s="12"/>
    </row>
    <row r="141" spans="2:16" ht="11.5">
      <c r="M141" s="12"/>
      <c r="N141" s="12"/>
      <c r="P141" s="12"/>
    </row>
    <row r="142" spans="2:16" ht="11.5">
      <c r="M142" s="12"/>
      <c r="N142" s="12"/>
      <c r="P142" s="12"/>
    </row>
    <row r="143" spans="2:16" ht="11.5">
      <c r="M143" s="12"/>
      <c r="N143" s="12"/>
      <c r="P143" s="12"/>
    </row>
    <row r="144" spans="2:16" ht="11.5">
      <c r="M144" s="12"/>
      <c r="N144" s="12"/>
      <c r="P144" s="12"/>
    </row>
    <row r="145" spans="2:16">
      <c r="B145" s="16"/>
      <c r="C145" s="16"/>
      <c r="D145" s="16"/>
      <c r="E145" s="16"/>
      <c r="F145" s="16"/>
      <c r="K145" s="119"/>
      <c r="L145" s="119"/>
    </row>
    <row r="160" spans="2:16" ht="11.5">
      <c r="M160" s="12"/>
      <c r="N160" s="12"/>
      <c r="P160" s="12"/>
    </row>
    <row r="161" spans="2:16">
      <c r="B161" s="16"/>
      <c r="C161" s="16"/>
      <c r="D161" s="16"/>
      <c r="E161" s="16"/>
      <c r="F161" s="16"/>
    </row>
    <row r="162" spans="2:16">
      <c r="K162" s="119"/>
      <c r="L162" s="119"/>
    </row>
    <row r="176" spans="2:16" ht="11.5">
      <c r="M176" s="12"/>
      <c r="N176" s="12"/>
      <c r="P176" s="12"/>
    </row>
    <row r="177" spans="2:16">
      <c r="B177" s="16"/>
      <c r="C177" s="16"/>
      <c r="D177" s="16"/>
      <c r="E177" s="16"/>
      <c r="F177" s="16"/>
    </row>
    <row r="192" spans="2:16" ht="11.5">
      <c r="M192" s="12"/>
      <c r="N192" s="12"/>
      <c r="P192" s="12"/>
    </row>
    <row r="193" spans="2:6">
      <c r="B193" s="16"/>
      <c r="C193" s="16"/>
      <c r="D193" s="16"/>
      <c r="E193" s="16"/>
      <c r="F193" s="16"/>
    </row>
    <row r="194" spans="2:6">
      <c r="B194" s="16"/>
      <c r="C194" s="16"/>
      <c r="D194" s="16"/>
      <c r="E194" s="16"/>
      <c r="F194" s="16"/>
    </row>
    <row r="195" spans="2:6">
      <c r="B195" s="16"/>
      <c r="C195" s="16"/>
      <c r="D195" s="16"/>
      <c r="E195" s="16"/>
      <c r="F195" s="16"/>
    </row>
    <row r="196" spans="2:6">
      <c r="B196" s="16"/>
      <c r="C196" s="16"/>
      <c r="D196" s="16"/>
      <c r="E196" s="16"/>
      <c r="F196" s="16"/>
    </row>
    <row r="210" spans="2:16" ht="11.5">
      <c r="M210" s="12"/>
      <c r="N210" s="12"/>
      <c r="P210" s="12"/>
    </row>
    <row r="211" spans="2:16">
      <c r="B211" s="16"/>
      <c r="C211" s="16"/>
      <c r="D211" s="16"/>
      <c r="E211" s="16"/>
      <c r="F211" s="16"/>
    </row>
    <row r="226" spans="2:16" ht="11.5">
      <c r="M226" s="12"/>
      <c r="N226" s="12"/>
      <c r="P226" s="12"/>
    </row>
    <row r="227" spans="2:16">
      <c r="B227" s="16"/>
      <c r="C227" s="16"/>
      <c r="D227" s="16"/>
      <c r="E227" s="16"/>
      <c r="F227" s="16"/>
    </row>
    <row r="228" spans="2:16">
      <c r="K228" s="119"/>
      <c r="L228" s="124"/>
    </row>
    <row r="229" spans="2:16">
      <c r="K229" s="119"/>
      <c r="L229" s="124"/>
    </row>
    <row r="230" spans="2:16">
      <c r="B230" s="16"/>
      <c r="C230" s="16"/>
      <c r="D230" s="16"/>
      <c r="E230" s="16"/>
      <c r="F230" s="16"/>
      <c r="K230" s="128"/>
      <c r="L230" s="120"/>
    </row>
    <row r="231" spans="2:16">
      <c r="K231" s="124"/>
      <c r="L231" s="124"/>
    </row>
    <row r="232" spans="2:16">
      <c r="K232" s="124"/>
      <c r="L232" s="124"/>
    </row>
    <row r="233" spans="2:16">
      <c r="K233" s="124"/>
      <c r="L233" s="124"/>
    </row>
    <row r="246" spans="2:16" ht="11.5">
      <c r="M246" s="12"/>
      <c r="N246" s="12"/>
      <c r="P246" s="12"/>
    </row>
    <row r="247" spans="2:16">
      <c r="B247" s="16"/>
      <c r="C247" s="16"/>
      <c r="D247" s="16"/>
      <c r="E247" s="16"/>
      <c r="F247" s="16"/>
      <c r="K247" s="119"/>
      <c r="L247" s="119"/>
    </row>
    <row r="248" spans="2:16">
      <c r="B248" s="16"/>
      <c r="C248" s="16"/>
      <c r="D248" s="16"/>
      <c r="E248" s="16"/>
      <c r="F248" s="16"/>
      <c r="K248" s="29"/>
      <c r="L248" s="29"/>
    </row>
    <row r="249" spans="2:16">
      <c r="B249" s="16"/>
      <c r="C249" s="16"/>
      <c r="D249" s="16"/>
      <c r="E249" s="16"/>
      <c r="F249" s="16"/>
    </row>
    <row r="250" spans="2:16">
      <c r="B250" s="16"/>
      <c r="C250" s="16"/>
      <c r="D250" s="16"/>
      <c r="E250" s="16"/>
      <c r="F250" s="16"/>
    </row>
    <row r="264" spans="2:16" ht="11.5">
      <c r="M264" s="12"/>
      <c r="N264" s="12"/>
      <c r="P264" s="12"/>
    </row>
    <row r="265" spans="2:16">
      <c r="B265" s="16"/>
      <c r="C265" s="16"/>
      <c r="D265" s="16"/>
      <c r="E265" s="16"/>
      <c r="F265" s="16"/>
      <c r="K265" s="119"/>
      <c r="L265" s="119"/>
    </row>
    <row r="266" spans="2:16">
      <c r="B266" s="16"/>
      <c r="C266" s="16"/>
      <c r="D266" s="16"/>
      <c r="E266" s="16"/>
      <c r="F266" s="16"/>
      <c r="K266" s="119"/>
      <c r="L266" s="119"/>
    </row>
    <row r="280" spans="2:16" ht="11.5">
      <c r="M280" s="12"/>
      <c r="N280" s="12"/>
      <c r="P280" s="12"/>
    </row>
    <row r="281" spans="2:16">
      <c r="B281" s="16"/>
      <c r="C281" s="16"/>
      <c r="D281" s="16"/>
      <c r="E281" s="16"/>
      <c r="F281" s="16"/>
    </row>
    <row r="282" spans="2:16">
      <c r="B282" s="16"/>
      <c r="C282" s="16"/>
      <c r="D282" s="16"/>
      <c r="E282" s="16"/>
      <c r="F282" s="16"/>
    </row>
    <row r="296" spans="2:16" ht="11.5">
      <c r="M296" s="12"/>
      <c r="N296" s="12"/>
      <c r="P296" s="12"/>
    </row>
    <row r="297" spans="2:16">
      <c r="B297" s="16"/>
      <c r="C297" s="16"/>
      <c r="D297" s="16"/>
      <c r="E297" s="16"/>
      <c r="F297" s="16"/>
      <c r="K297" s="124"/>
      <c r="L297" s="124"/>
    </row>
    <row r="298" spans="2:16">
      <c r="B298" s="16"/>
      <c r="C298" s="16"/>
      <c r="D298" s="16"/>
      <c r="E298" s="16"/>
      <c r="F298" s="16"/>
    </row>
    <row r="300" spans="2:16">
      <c r="K300" s="29"/>
    </row>
    <row r="320" s="12" customFormat="1" ht="11.5"/>
    <row r="322" spans="11:12">
      <c r="K322" s="25"/>
      <c r="L322" s="25"/>
    </row>
    <row r="338" s="12" customFormat="1" ht="11.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13" t="s">
        <v>267</v>
      </c>
    </row>
    <row r="2" spans="2:37">
      <c r="B2" s="113"/>
      <c r="H2" s="71"/>
      <c r="V2" s="45">
        <f>V6-U6</f>
        <v>15</v>
      </c>
      <c r="W2" s="45"/>
      <c r="X2" s="45"/>
      <c r="Y2" s="45"/>
    </row>
    <row r="4" spans="2:37" ht="15.75" customHeight="1">
      <c r="B4" s="185" t="s">
        <v>49</v>
      </c>
      <c r="C4" s="264">
        <v>41547</v>
      </c>
      <c r="D4" s="265"/>
      <c r="E4" s="265"/>
      <c r="H4" s="5" t="s">
        <v>49</v>
      </c>
      <c r="I4" s="5"/>
      <c r="J4" s="5"/>
      <c r="K4" s="5"/>
      <c r="L4" s="5"/>
      <c r="M4" s="5"/>
      <c r="N4" s="5"/>
      <c r="O4" s="5"/>
      <c r="P4" s="5"/>
      <c r="Q4" s="5"/>
      <c r="R4" s="5"/>
      <c r="S4" s="5"/>
      <c r="T4" s="5"/>
      <c r="U4" s="5"/>
      <c r="V4" s="5"/>
      <c r="W4" s="5"/>
      <c r="X4" s="5"/>
      <c r="Y4" s="5"/>
      <c r="Z4" s="5"/>
      <c r="AA4" s="5"/>
      <c r="AB4" s="5"/>
      <c r="AC4" s="266" t="s">
        <v>251</v>
      </c>
      <c r="AD4" s="266"/>
      <c r="AE4" s="266"/>
      <c r="AF4" s="266"/>
      <c r="AG4" s="266"/>
      <c r="AH4" s="266"/>
      <c r="AI4" s="266"/>
      <c r="AJ4" s="266"/>
    </row>
    <row r="5" spans="2:37" ht="13.5" customHeight="1">
      <c r="B5" s="6"/>
      <c r="C5" s="2" t="s">
        <v>56</v>
      </c>
      <c r="D5" s="2" t="s">
        <v>57</v>
      </c>
      <c r="E5" s="2" t="s">
        <v>62</v>
      </c>
      <c r="H5" s="6" t="s">
        <v>51</v>
      </c>
      <c r="I5" s="72" t="s">
        <v>80</v>
      </c>
      <c r="J5" s="72" t="s">
        <v>74</v>
      </c>
      <c r="K5" s="72" t="s">
        <v>75</v>
      </c>
      <c r="L5" s="72" t="s">
        <v>85</v>
      </c>
      <c r="M5" s="72" t="s">
        <v>76</v>
      </c>
      <c r="N5" s="72" t="s">
        <v>77</v>
      </c>
      <c r="O5" s="72" t="s">
        <v>67</v>
      </c>
      <c r="P5" s="72" t="s">
        <v>68</v>
      </c>
      <c r="Q5" s="72" t="s">
        <v>69</v>
      </c>
      <c r="R5" s="72" t="s">
        <v>70</v>
      </c>
      <c r="S5" s="72" t="s">
        <v>71</v>
      </c>
      <c r="T5" s="72" t="s">
        <v>113</v>
      </c>
      <c r="U5" s="72" t="s">
        <v>127</v>
      </c>
      <c r="V5" s="72" t="s">
        <v>133</v>
      </c>
      <c r="W5" s="72" t="s">
        <v>158</v>
      </c>
      <c r="X5" s="72" t="s">
        <v>232</v>
      </c>
      <c r="Y5" s="72" t="s">
        <v>236</v>
      </c>
      <c r="Z5" s="72" t="s">
        <v>263</v>
      </c>
      <c r="AA5" s="72"/>
      <c r="AB5" s="72"/>
      <c r="AC5" s="6">
        <v>110</v>
      </c>
      <c r="AD5" s="6">
        <v>120</v>
      </c>
      <c r="AE5" s="6">
        <v>160</v>
      </c>
      <c r="AF5" s="6">
        <v>230</v>
      </c>
      <c r="AG5" s="6">
        <v>450</v>
      </c>
      <c r="AH5" s="6">
        <v>600</v>
      </c>
      <c r="AI5" s="6">
        <v>800</v>
      </c>
      <c r="AJ5" s="2" t="s">
        <v>27</v>
      </c>
    </row>
    <row r="6" spans="2:37" ht="13.5" customHeight="1">
      <c r="B6" s="1" t="s">
        <v>61</v>
      </c>
      <c r="C6" s="27">
        <v>898</v>
      </c>
      <c r="D6" s="186">
        <v>905</v>
      </c>
      <c r="E6" s="73">
        <f t="shared" ref="E6:E19" si="0">+IFERROR(C6/D6-1,"-")</f>
        <v>-7.7348066298342788E-3</v>
      </c>
      <c r="H6" s="1" t="s">
        <v>61</v>
      </c>
      <c r="I6" s="26">
        <v>910.85</v>
      </c>
      <c r="J6" s="26">
        <v>886.46</v>
      </c>
      <c r="K6" s="26">
        <v>923.41</v>
      </c>
      <c r="L6" s="26">
        <v>918.23</v>
      </c>
      <c r="M6" s="26">
        <v>903.05</v>
      </c>
      <c r="N6" s="26">
        <v>903.39</v>
      </c>
      <c r="O6" s="27">
        <v>904.42</v>
      </c>
      <c r="P6" s="27">
        <v>896.06</v>
      </c>
      <c r="Q6" s="27">
        <v>879.85770000000025</v>
      </c>
      <c r="R6" s="27">
        <v>862.38</v>
      </c>
      <c r="S6" s="27">
        <v>849.68</v>
      </c>
      <c r="T6" s="27">
        <v>876</v>
      </c>
      <c r="U6" s="27">
        <v>873</v>
      </c>
      <c r="V6" s="27">
        <v>888</v>
      </c>
      <c r="W6" s="27">
        <v>890</v>
      </c>
      <c r="X6" s="27">
        <v>930</v>
      </c>
      <c r="Y6" s="27">
        <v>908</v>
      </c>
      <c r="Z6" s="27">
        <v>895</v>
      </c>
      <c r="AA6" s="27"/>
      <c r="AB6" s="27"/>
      <c r="AC6" s="1">
        <v>5</v>
      </c>
      <c r="AD6" s="1">
        <f>3+2+1+7+2+4+2</f>
        <v>21</v>
      </c>
      <c r="AE6" s="1">
        <v>1</v>
      </c>
      <c r="AF6" s="1">
        <f>1+1+1</f>
        <v>3</v>
      </c>
      <c r="AG6" s="1">
        <v>2</v>
      </c>
      <c r="AH6" s="1">
        <f>2+4+1</f>
        <v>7</v>
      </c>
      <c r="AI6" s="1">
        <f>10+8+3+4+6+6+3+2+1+1+1+2+2+2+1+1.5+2+2+1.5+2</f>
        <v>61</v>
      </c>
      <c r="AJ6" s="6">
        <f>SUM(AC6:AI6)</f>
        <v>100</v>
      </c>
    </row>
    <row r="7" spans="2:37" ht="13.5" customHeight="1">
      <c r="B7" s="1" t="s">
        <v>58</v>
      </c>
      <c r="C7" s="27">
        <v>10</v>
      </c>
      <c r="D7" s="186">
        <v>0</v>
      </c>
      <c r="E7" s="73" t="str">
        <f t="shared" si="0"/>
        <v>-</v>
      </c>
      <c r="H7" s="1" t="s">
        <v>58</v>
      </c>
      <c r="I7" s="26"/>
      <c r="J7" s="26"/>
      <c r="K7" s="26"/>
      <c r="L7" s="26">
        <v>20</v>
      </c>
      <c r="M7" s="26">
        <v>24.47</v>
      </c>
      <c r="N7" s="26">
        <v>27.15</v>
      </c>
      <c r="O7" s="27">
        <v>15.16</v>
      </c>
      <c r="P7" s="27">
        <v>17.89</v>
      </c>
      <c r="Q7" s="27">
        <v>18.86</v>
      </c>
      <c r="R7" s="27">
        <v>7.2</v>
      </c>
      <c r="S7" s="27">
        <v>8.4</v>
      </c>
      <c r="T7" s="27">
        <v>11</v>
      </c>
      <c r="U7" s="27">
        <v>13</v>
      </c>
      <c r="V7" s="27">
        <v>11.3</v>
      </c>
      <c r="W7" s="27">
        <v>26.339999999999989</v>
      </c>
      <c r="X7" s="27">
        <v>20</v>
      </c>
      <c r="Y7" s="27">
        <v>10</v>
      </c>
      <c r="Z7" s="27">
        <v>11</v>
      </c>
      <c r="AA7" s="27"/>
      <c r="AB7" s="27"/>
      <c r="AJ7" s="1">
        <f>120-AJ6</f>
        <v>20</v>
      </c>
    </row>
    <row r="8" spans="2:37" ht="13.5" customHeight="1">
      <c r="B8" s="6" t="s">
        <v>144</v>
      </c>
      <c r="C8" s="78">
        <f>+SUBTOTAL(9,C6:C7)</f>
        <v>908</v>
      </c>
      <c r="D8" s="78">
        <f>+SUBTOTAL(9,D6:D7)</f>
        <v>905</v>
      </c>
      <c r="E8" s="79">
        <f t="shared" si="0"/>
        <v>3.3149171270718814E-3</v>
      </c>
      <c r="H8" s="6" t="s">
        <v>144</v>
      </c>
      <c r="I8" s="78">
        <f t="shared" ref="I8:N8" si="1">+SUBTOTAL(9,I6:I7)</f>
        <v>910.85</v>
      </c>
      <c r="J8" s="78">
        <f t="shared" si="1"/>
        <v>886.46</v>
      </c>
      <c r="K8" s="78">
        <f t="shared" si="1"/>
        <v>923.41</v>
      </c>
      <c r="L8" s="78">
        <f t="shared" si="1"/>
        <v>938.23</v>
      </c>
      <c r="M8" s="78">
        <f t="shared" si="1"/>
        <v>927.52</v>
      </c>
      <c r="N8" s="78">
        <f t="shared" si="1"/>
        <v>930.54</v>
      </c>
      <c r="O8" s="27">
        <f t="shared" ref="O8:W8" si="2">+SUBTOTAL(9,O6:O7)</f>
        <v>919.57999999999993</v>
      </c>
      <c r="P8" s="27">
        <f t="shared" si="2"/>
        <v>913.94999999999993</v>
      </c>
      <c r="Q8" s="27">
        <f t="shared" si="2"/>
        <v>898.71770000000026</v>
      </c>
      <c r="R8" s="27">
        <f t="shared" si="2"/>
        <v>869.58</v>
      </c>
      <c r="S8" s="27">
        <f t="shared" si="2"/>
        <v>858.07999999999993</v>
      </c>
      <c r="T8" s="27">
        <f t="shared" si="2"/>
        <v>887</v>
      </c>
      <c r="U8" s="27">
        <f t="shared" si="2"/>
        <v>886</v>
      </c>
      <c r="V8" s="27">
        <f t="shared" si="2"/>
        <v>899.3</v>
      </c>
      <c r="W8" s="27">
        <f t="shared" si="2"/>
        <v>916.34</v>
      </c>
      <c r="X8" s="27">
        <f>+SUBTOTAL(9,X6:X7)</f>
        <v>950</v>
      </c>
      <c r="Y8" s="27">
        <f>+SUBTOTAL(9,Y6:Y7)</f>
        <v>918</v>
      </c>
      <c r="Z8" s="27">
        <f>+SUBTOTAL(9,Z6:Z7)</f>
        <v>906</v>
      </c>
      <c r="AA8" s="27"/>
      <c r="AB8" s="27"/>
      <c r="AD8" s="4">
        <f>+S8/O8-1</f>
        <v>-6.6878357511037656E-2</v>
      </c>
      <c r="AE8" s="4">
        <f>+T8/S8-1</f>
        <v>3.3703151221331495E-2</v>
      </c>
      <c r="AF8" s="26">
        <f>+T8-O8</f>
        <v>-32.579999999999927</v>
      </c>
      <c r="AG8" s="26">
        <f>+T8-S8</f>
        <v>28.920000000000073</v>
      </c>
    </row>
    <row r="9" spans="2:37" ht="13.5" customHeight="1">
      <c r="C9" s="27"/>
      <c r="D9" s="27"/>
      <c r="E9" s="73"/>
      <c r="H9" s="1" t="s">
        <v>103</v>
      </c>
      <c r="I9" s="26">
        <v>74</v>
      </c>
      <c r="J9" s="26">
        <v>66</v>
      </c>
      <c r="K9" s="26">
        <v>65</v>
      </c>
      <c r="L9" s="26">
        <v>67.19</v>
      </c>
      <c r="M9" s="26">
        <v>66</v>
      </c>
      <c r="N9" s="26">
        <v>58.59</v>
      </c>
      <c r="O9" s="27">
        <v>57</v>
      </c>
      <c r="P9" s="27">
        <v>52.09</v>
      </c>
      <c r="Q9" s="27">
        <v>53</v>
      </c>
      <c r="R9" s="27">
        <v>45.59</v>
      </c>
      <c r="S9" s="27">
        <v>47</v>
      </c>
      <c r="T9" s="27">
        <v>40</v>
      </c>
      <c r="U9" s="27">
        <v>39</v>
      </c>
      <c r="V9" s="27">
        <v>29</v>
      </c>
      <c r="W9" s="27">
        <v>26</v>
      </c>
      <c r="X9" s="27">
        <v>0</v>
      </c>
      <c r="Y9" s="27">
        <v>0</v>
      </c>
      <c r="Z9" s="27">
        <v>0</v>
      </c>
      <c r="AA9" s="27"/>
      <c r="AB9" s="27"/>
    </row>
    <row r="10" spans="2:37" ht="13.5" customHeight="1">
      <c r="C10" s="27"/>
      <c r="D10" s="27"/>
      <c r="E10" s="73"/>
      <c r="H10" s="1" t="s">
        <v>52</v>
      </c>
      <c r="I10" s="26">
        <v>0</v>
      </c>
      <c r="J10" s="26">
        <v>0</v>
      </c>
      <c r="K10" s="26">
        <v>10</v>
      </c>
      <c r="L10" s="26">
        <v>10</v>
      </c>
      <c r="M10" s="26">
        <v>10</v>
      </c>
      <c r="N10" s="26">
        <v>10</v>
      </c>
      <c r="O10" s="27">
        <v>8</v>
      </c>
      <c r="P10" s="27">
        <v>8</v>
      </c>
      <c r="Q10" s="27">
        <v>8</v>
      </c>
      <c r="R10" s="27">
        <v>9</v>
      </c>
      <c r="S10" s="27">
        <v>8</v>
      </c>
      <c r="T10" s="27">
        <v>8</v>
      </c>
      <c r="U10" s="27">
        <v>9</v>
      </c>
      <c r="V10" s="27">
        <v>7.44</v>
      </c>
      <c r="W10" s="27">
        <v>7</v>
      </c>
      <c r="X10" s="27">
        <v>0</v>
      </c>
      <c r="Y10" s="27">
        <v>0</v>
      </c>
      <c r="Z10" s="27">
        <v>0</v>
      </c>
      <c r="AA10" s="27"/>
      <c r="AB10" s="27"/>
    </row>
    <row r="11" spans="2:37" ht="13.5" customHeight="1">
      <c r="B11" s="74" t="s">
        <v>99</v>
      </c>
      <c r="C11" s="75">
        <f>+SUBTOTAL(9,C6:C10)</f>
        <v>908</v>
      </c>
      <c r="D11" s="75">
        <f>+SUBTOTAL(9,D6:D10)</f>
        <v>905</v>
      </c>
      <c r="E11" s="76">
        <f>+IFERROR(C11/D11-1,"-")</f>
        <v>3.3149171270718814E-3</v>
      </c>
      <c r="H11" s="74" t="s">
        <v>99</v>
      </c>
      <c r="I11" s="26"/>
      <c r="J11" s="26"/>
      <c r="K11" s="26"/>
      <c r="L11" s="26"/>
      <c r="M11" s="26"/>
      <c r="N11" s="26"/>
      <c r="O11" s="75">
        <f>+SUBTOTAL(9,O6:O10)</f>
        <v>984.57999999999993</v>
      </c>
      <c r="P11" s="75">
        <f t="shared" ref="P11:W11" si="3">+SUBTOTAL(9,P6:P10)</f>
        <v>974.04</v>
      </c>
      <c r="Q11" s="75">
        <f t="shared" si="3"/>
        <v>959.71770000000026</v>
      </c>
      <c r="R11" s="75">
        <f t="shared" si="3"/>
        <v>924.17000000000007</v>
      </c>
      <c r="S11" s="75">
        <f t="shared" si="3"/>
        <v>913.07999999999993</v>
      </c>
      <c r="T11" s="75">
        <f t="shared" si="3"/>
        <v>935</v>
      </c>
      <c r="U11" s="75">
        <f t="shared" si="3"/>
        <v>934</v>
      </c>
      <c r="V11" s="75">
        <f t="shared" si="3"/>
        <v>935.74</v>
      </c>
      <c r="W11" s="75">
        <f t="shared" si="3"/>
        <v>949.34</v>
      </c>
      <c r="X11" s="75">
        <f>+SUBTOTAL(9,X6:X10)</f>
        <v>950</v>
      </c>
      <c r="Y11" s="75">
        <f>+SUBTOTAL(9,Y6:Y10)</f>
        <v>918</v>
      </c>
      <c r="Z11" s="75">
        <f>+SUBTOTAL(9,Z6:Z10)</f>
        <v>906</v>
      </c>
      <c r="AA11" s="78"/>
      <c r="AB11" s="78"/>
    </row>
    <row r="12" spans="2:37" ht="13.5" customHeight="1">
      <c r="B12" s="1" t="s">
        <v>48</v>
      </c>
      <c r="C12" s="27">
        <v>20</v>
      </c>
      <c r="D12" s="186">
        <v>21</v>
      </c>
      <c r="E12" s="73">
        <f t="shared" si="0"/>
        <v>-4.7619047619047672E-2</v>
      </c>
      <c r="H12" s="1" t="s">
        <v>48</v>
      </c>
      <c r="I12" s="26">
        <v>35</v>
      </c>
      <c r="J12" s="26">
        <v>17</v>
      </c>
      <c r="K12" s="26">
        <v>13</v>
      </c>
      <c r="L12" s="26">
        <v>14</v>
      </c>
      <c r="M12" s="26">
        <v>15</v>
      </c>
      <c r="N12" s="26">
        <v>15</v>
      </c>
      <c r="O12" s="27">
        <v>14</v>
      </c>
      <c r="P12" s="27">
        <v>16</v>
      </c>
      <c r="Q12" s="27">
        <v>16</v>
      </c>
      <c r="R12" s="27">
        <v>16.399999999999999</v>
      </c>
      <c r="S12" s="27">
        <v>17</v>
      </c>
      <c r="T12" s="27">
        <v>17</v>
      </c>
      <c r="U12" s="27">
        <v>15</v>
      </c>
      <c r="V12" s="27">
        <v>18</v>
      </c>
      <c r="W12" s="27">
        <v>20.2</v>
      </c>
      <c r="X12" s="27">
        <v>17</v>
      </c>
      <c r="Y12" s="27">
        <v>17</v>
      </c>
      <c r="Z12" s="1">
        <v>19</v>
      </c>
    </row>
    <row r="13" spans="2:37" ht="13.5" customHeight="1">
      <c r="B13" s="1" t="s">
        <v>46</v>
      </c>
      <c r="C13" s="27">
        <v>144</v>
      </c>
      <c r="D13" s="186">
        <v>140.5</v>
      </c>
      <c r="E13" s="73">
        <f t="shared" si="0"/>
        <v>2.4911032028469782E-2</v>
      </c>
      <c r="H13" s="1" t="s">
        <v>46</v>
      </c>
      <c r="I13" s="26">
        <v>0</v>
      </c>
      <c r="J13" s="26">
        <v>0</v>
      </c>
      <c r="K13" s="26">
        <v>0</v>
      </c>
      <c r="L13" s="26">
        <v>0</v>
      </c>
      <c r="M13" s="26">
        <v>0</v>
      </c>
      <c r="N13" s="26">
        <v>0</v>
      </c>
      <c r="O13" s="27">
        <v>137</v>
      </c>
      <c r="P13" s="27">
        <v>141</v>
      </c>
      <c r="Q13" s="27">
        <v>146</v>
      </c>
      <c r="R13" s="27">
        <v>147</v>
      </c>
      <c r="S13" s="27">
        <v>151</v>
      </c>
      <c r="T13" s="27">
        <v>152</v>
      </c>
      <c r="U13" s="27">
        <v>152</v>
      </c>
      <c r="V13" s="27">
        <v>153</v>
      </c>
      <c r="W13" s="27">
        <v>148</v>
      </c>
      <c r="X13" s="27">
        <v>149</v>
      </c>
      <c r="Y13" s="27">
        <v>147</v>
      </c>
      <c r="Z13" s="1">
        <v>147</v>
      </c>
      <c r="AK13" s="1">
        <v>1225</v>
      </c>
    </row>
    <row r="14" spans="2:37" ht="13.5" customHeight="1">
      <c r="B14" s="1" t="s">
        <v>55</v>
      </c>
      <c r="C14" s="27">
        <v>15</v>
      </c>
      <c r="D14" s="186">
        <v>14</v>
      </c>
      <c r="E14" s="73">
        <f t="shared" si="0"/>
        <v>7.1428571428571397E-2</v>
      </c>
      <c r="H14" s="1" t="s">
        <v>55</v>
      </c>
      <c r="I14" s="26">
        <v>12</v>
      </c>
      <c r="J14" s="26">
        <v>11</v>
      </c>
      <c r="K14" s="26">
        <v>14</v>
      </c>
      <c r="L14" s="26">
        <v>14</v>
      </c>
      <c r="M14" s="26">
        <v>15</v>
      </c>
      <c r="N14" s="26">
        <v>14.25</v>
      </c>
      <c r="O14" s="27">
        <v>14</v>
      </c>
      <c r="P14" s="27">
        <v>14.25</v>
      </c>
      <c r="Q14" s="27">
        <v>14</v>
      </c>
      <c r="R14" s="27">
        <v>14.85</v>
      </c>
      <c r="S14" s="27">
        <v>14</v>
      </c>
      <c r="T14" s="27">
        <v>14</v>
      </c>
      <c r="U14" s="27">
        <v>14</v>
      </c>
      <c r="V14" s="27">
        <v>14</v>
      </c>
      <c r="W14" s="27">
        <v>14</v>
      </c>
      <c r="X14" s="27">
        <v>14</v>
      </c>
      <c r="Y14" s="27">
        <v>14</v>
      </c>
      <c r="Z14" s="1">
        <v>14</v>
      </c>
      <c r="AK14" s="1">
        <v>1190</v>
      </c>
    </row>
    <row r="15" spans="2:37" ht="13.5" customHeight="1">
      <c r="B15" s="1" t="s">
        <v>44</v>
      </c>
      <c r="C15" s="27">
        <v>34</v>
      </c>
      <c r="D15" s="186">
        <v>33</v>
      </c>
      <c r="E15" s="73">
        <f t="shared" si="0"/>
        <v>3.0303030303030276E-2</v>
      </c>
      <c r="H15" s="1" t="s">
        <v>44</v>
      </c>
      <c r="I15" s="26">
        <v>0</v>
      </c>
      <c r="J15" s="26">
        <v>0</v>
      </c>
      <c r="K15" s="26">
        <v>43</v>
      </c>
      <c r="L15" s="26">
        <v>43</v>
      </c>
      <c r="M15" s="26">
        <v>43</v>
      </c>
      <c r="N15" s="26">
        <v>43</v>
      </c>
      <c r="O15" s="27">
        <v>41</v>
      </c>
      <c r="P15" s="27">
        <v>44</v>
      </c>
      <c r="Q15" s="27">
        <v>42</v>
      </c>
      <c r="R15" s="27">
        <v>42</v>
      </c>
      <c r="S15" s="27">
        <v>42</v>
      </c>
      <c r="T15" s="27">
        <v>40</v>
      </c>
      <c r="U15" s="27">
        <v>39</v>
      </c>
      <c r="V15" s="27">
        <v>37</v>
      </c>
      <c r="W15" s="27">
        <v>38</v>
      </c>
      <c r="X15" s="27">
        <v>38</v>
      </c>
      <c r="Y15" s="27">
        <v>38</v>
      </c>
      <c r="Z15" s="1">
        <v>33</v>
      </c>
      <c r="AK15" s="1">
        <f>AK14-AK13</f>
        <v>-35</v>
      </c>
    </row>
    <row r="16" spans="2:37" ht="13.5" customHeight="1">
      <c r="B16" s="77" t="s">
        <v>59</v>
      </c>
      <c r="C16" s="75">
        <f>+SUBTOTAL(9,C6:C15)</f>
        <v>1121</v>
      </c>
      <c r="D16" s="187">
        <f>+SUBTOTAL(9,D6:D15)</f>
        <v>1113.5</v>
      </c>
      <c r="E16" s="76">
        <f t="shared" si="0"/>
        <v>6.7355186349349339E-3</v>
      </c>
      <c r="H16" s="77" t="s">
        <v>59</v>
      </c>
      <c r="I16" s="75">
        <f>+SUBTOTAL(9,I6:I14)</f>
        <v>1031.8499999999999</v>
      </c>
      <c r="J16" s="75">
        <f>+SUBTOTAL(9,J6:J14)</f>
        <v>980.46</v>
      </c>
      <c r="K16" s="75">
        <f>+SUBTOTAL(9,K6:K14)</f>
        <v>1025.4099999999999</v>
      </c>
      <c r="L16" s="75">
        <f>+SUBTOTAL(9,L6:L14)</f>
        <v>1043.42</v>
      </c>
      <c r="M16" s="75">
        <f>+SUBTOTAL(9,M6:M14)</f>
        <v>1033.52</v>
      </c>
      <c r="N16" s="75">
        <f t="shared" ref="N16:W16" si="4">+SUBTOTAL(9,N6:N15)</f>
        <v>1071.3800000000001</v>
      </c>
      <c r="O16" s="75">
        <f t="shared" si="4"/>
        <v>1190.58</v>
      </c>
      <c r="P16" s="75">
        <f t="shared" si="4"/>
        <v>1189.29</v>
      </c>
      <c r="Q16" s="75">
        <f t="shared" si="4"/>
        <v>1177.7177000000001</v>
      </c>
      <c r="R16" s="75">
        <f t="shared" si="4"/>
        <v>1144.42</v>
      </c>
      <c r="S16" s="75">
        <f t="shared" si="4"/>
        <v>1137.08</v>
      </c>
      <c r="T16" s="75">
        <f t="shared" si="4"/>
        <v>1158</v>
      </c>
      <c r="U16" s="75">
        <f t="shared" si="4"/>
        <v>1154</v>
      </c>
      <c r="V16" s="75">
        <f t="shared" si="4"/>
        <v>1157.74</v>
      </c>
      <c r="W16" s="75">
        <f t="shared" si="4"/>
        <v>1169.54</v>
      </c>
      <c r="X16" s="75">
        <f>+SUBTOTAL(9,X6:X15)</f>
        <v>1168</v>
      </c>
      <c r="Y16" s="75">
        <f>+SUBTOTAL(9,Y6:Y15)</f>
        <v>1134</v>
      </c>
      <c r="Z16" s="75">
        <f>+SUBTOTAL(9,Z6:Z15)</f>
        <v>1119</v>
      </c>
      <c r="AA16" s="78"/>
      <c r="AB16" s="78"/>
      <c r="AD16" s="26">
        <f>+T16-S16</f>
        <v>20.920000000000073</v>
      </c>
    </row>
    <row r="17" spans="2:37" ht="13.5" customHeight="1">
      <c r="B17" s="1" t="s">
        <v>45</v>
      </c>
      <c r="C17" s="27">
        <f>+AD17</f>
        <v>0</v>
      </c>
      <c r="D17" s="186">
        <v>8</v>
      </c>
      <c r="E17" s="73">
        <f t="shared" si="0"/>
        <v>-1</v>
      </c>
      <c r="H17" s="1" t="s">
        <v>45</v>
      </c>
      <c r="I17" s="26">
        <v>0</v>
      </c>
      <c r="J17" s="26">
        <v>0</v>
      </c>
      <c r="K17" s="26">
        <v>5</v>
      </c>
      <c r="L17" s="26">
        <v>7</v>
      </c>
      <c r="M17" s="26">
        <v>8</v>
      </c>
      <c r="N17" s="26">
        <v>8</v>
      </c>
      <c r="O17" s="27">
        <v>8</v>
      </c>
      <c r="P17" s="27">
        <v>8</v>
      </c>
      <c r="Q17" s="27">
        <v>9</v>
      </c>
      <c r="R17" s="27">
        <v>9</v>
      </c>
      <c r="S17" s="27">
        <v>9</v>
      </c>
      <c r="T17" s="27">
        <v>8</v>
      </c>
      <c r="U17" s="27">
        <v>8</v>
      </c>
      <c r="V17" s="27">
        <v>8</v>
      </c>
      <c r="W17" s="27">
        <v>8</v>
      </c>
      <c r="X17" s="27">
        <v>8</v>
      </c>
      <c r="Y17" s="27">
        <v>8</v>
      </c>
      <c r="Z17" s="1">
        <v>8</v>
      </c>
    </row>
    <row r="18" spans="2:37" ht="13.5" customHeight="1">
      <c r="B18" s="1" t="s">
        <v>47</v>
      </c>
      <c r="C18" s="27">
        <v>5.5</v>
      </c>
      <c r="D18" s="186">
        <v>6</v>
      </c>
      <c r="E18" s="73">
        <f t="shared" si="0"/>
        <v>-8.333333333333337E-2</v>
      </c>
      <c r="H18" s="1" t="s">
        <v>47</v>
      </c>
      <c r="I18" s="26">
        <v>0</v>
      </c>
      <c r="J18" s="26">
        <v>0</v>
      </c>
      <c r="K18" s="26">
        <v>3</v>
      </c>
      <c r="L18" s="26">
        <v>3</v>
      </c>
      <c r="M18" s="26">
        <v>4</v>
      </c>
      <c r="N18" s="26">
        <v>4</v>
      </c>
      <c r="O18" s="27">
        <v>4</v>
      </c>
      <c r="P18" s="27">
        <v>5</v>
      </c>
      <c r="Q18" s="27">
        <v>5</v>
      </c>
      <c r="R18" s="27">
        <v>6</v>
      </c>
      <c r="S18" s="27">
        <v>5</v>
      </c>
      <c r="T18" s="27">
        <v>5</v>
      </c>
      <c r="U18" s="27">
        <v>6</v>
      </c>
      <c r="V18" s="27">
        <v>6</v>
      </c>
      <c r="W18" s="27">
        <v>6</v>
      </c>
      <c r="X18" s="27">
        <v>6</v>
      </c>
      <c r="Y18" s="27">
        <v>6</v>
      </c>
      <c r="Z18" s="1">
        <v>6</v>
      </c>
    </row>
    <row r="19" spans="2:37" ht="13.5" customHeight="1">
      <c r="B19" s="1" t="s">
        <v>143</v>
      </c>
      <c r="C19" s="27">
        <v>5.5</v>
      </c>
      <c r="D19" s="186">
        <v>6</v>
      </c>
      <c r="E19" s="73">
        <f t="shared" si="0"/>
        <v>-8.333333333333337E-2</v>
      </c>
      <c r="H19" s="1" t="s">
        <v>143</v>
      </c>
      <c r="I19" s="26"/>
      <c r="J19" s="26"/>
      <c r="K19" s="26"/>
      <c r="L19" s="26">
        <v>6</v>
      </c>
      <c r="M19" s="26">
        <v>5</v>
      </c>
      <c r="N19" s="26">
        <v>6</v>
      </c>
      <c r="O19" s="27">
        <v>22</v>
      </c>
      <c r="P19" s="27">
        <v>20</v>
      </c>
      <c r="Q19" s="27">
        <v>8</v>
      </c>
      <c r="R19" s="27">
        <v>8</v>
      </c>
      <c r="S19" s="27">
        <v>7</v>
      </c>
      <c r="T19" s="27">
        <v>8</v>
      </c>
      <c r="U19" s="27">
        <v>5</v>
      </c>
      <c r="V19" s="27">
        <v>5</v>
      </c>
      <c r="W19" s="27">
        <v>6</v>
      </c>
      <c r="X19" s="27">
        <v>5</v>
      </c>
      <c r="Y19" s="27">
        <v>5</v>
      </c>
      <c r="Z19" s="1">
        <v>6</v>
      </c>
      <c r="AK19" s="1">
        <f>16/32</f>
        <v>0.5</v>
      </c>
    </row>
    <row r="20" spans="2:37" ht="13.5" customHeight="1">
      <c r="B20" s="185" t="s">
        <v>50</v>
      </c>
      <c r="C20" s="188">
        <f>+SUBTOTAL(9,C6:C19)</f>
        <v>1132</v>
      </c>
      <c r="D20" s="188">
        <f>+SUBTOTAL(9,D6:D19)</f>
        <v>1133.5</v>
      </c>
      <c r="E20" s="189">
        <f>+IFERROR(C20/D20-1,"-")</f>
        <v>-1.3233348037053894E-3</v>
      </c>
      <c r="H20" s="116" t="s">
        <v>50</v>
      </c>
      <c r="I20" s="117">
        <f t="shared" ref="I20:W20" si="5">+SUBTOTAL(9,I6:I19)</f>
        <v>1031.8499999999999</v>
      </c>
      <c r="J20" s="117">
        <f t="shared" si="5"/>
        <v>980.46</v>
      </c>
      <c r="K20" s="117">
        <f t="shared" si="5"/>
        <v>1076.4099999999999</v>
      </c>
      <c r="L20" s="117">
        <f t="shared" si="5"/>
        <v>1102.42</v>
      </c>
      <c r="M20" s="117">
        <f t="shared" si="5"/>
        <v>1093.52</v>
      </c>
      <c r="N20" s="117">
        <f t="shared" si="5"/>
        <v>1089.3800000000001</v>
      </c>
      <c r="O20" s="117">
        <f t="shared" si="5"/>
        <v>1224.58</v>
      </c>
      <c r="P20" s="117">
        <f t="shared" si="5"/>
        <v>1222.29</v>
      </c>
      <c r="Q20" s="117">
        <f t="shared" si="5"/>
        <v>1199.7177000000001</v>
      </c>
      <c r="R20" s="117">
        <f t="shared" si="5"/>
        <v>1167.42</v>
      </c>
      <c r="S20" s="117">
        <f t="shared" si="5"/>
        <v>1158.08</v>
      </c>
      <c r="T20" s="117">
        <f t="shared" si="5"/>
        <v>1179</v>
      </c>
      <c r="U20" s="117">
        <f t="shared" si="5"/>
        <v>1173</v>
      </c>
      <c r="V20" s="117">
        <f t="shared" si="5"/>
        <v>1176.74</v>
      </c>
      <c r="W20" s="117">
        <f t="shared" si="5"/>
        <v>1189.54</v>
      </c>
      <c r="X20" s="117">
        <f>+SUBTOTAL(9,X6:X19)</f>
        <v>1187</v>
      </c>
      <c r="Y20" s="117">
        <f>+SUBTOTAL(9,Y6:Y19)</f>
        <v>1153</v>
      </c>
      <c r="Z20" s="117">
        <f>+SUBTOTAL(9,Z6:Z19)</f>
        <v>1139</v>
      </c>
      <c r="AA20" s="117"/>
      <c r="AB20" s="117"/>
      <c r="AD20" s="4">
        <f>+S20/O20-1</f>
        <v>-5.430433291414194E-2</v>
      </c>
      <c r="AE20" s="26">
        <f>W20-O20</f>
        <v>-35.039999999999964</v>
      </c>
      <c r="AF20" s="26">
        <f>W20-S20</f>
        <v>31.460000000000036</v>
      </c>
      <c r="AG20" s="26">
        <f>O20-S20</f>
        <v>66.5</v>
      </c>
      <c r="AI20" s="4">
        <f>16/AF20</f>
        <v>0.50858232676414439</v>
      </c>
    </row>
    <row r="21" spans="2:37" ht="13.5" customHeight="1">
      <c r="D21" s="26">
        <f>D20-C20</f>
        <v>1.5</v>
      </c>
      <c r="I21" s="26"/>
      <c r="J21" s="26"/>
      <c r="K21" s="26"/>
      <c r="L21" s="3" t="e">
        <f>+#REF!-'FTE´S old'!L20</f>
        <v>#REF!</v>
      </c>
      <c r="M21" s="3" t="e">
        <f>+#REF!-'FTE´S old'!M20</f>
        <v>#REF!</v>
      </c>
      <c r="N21" s="3" t="e">
        <f>+#REF!-'FTE´S old'!N20</f>
        <v>#REF!</v>
      </c>
      <c r="O21" s="3" t="e">
        <f>+#REF!-'FTE´S old'!O20</f>
        <v>#REF!</v>
      </c>
      <c r="P21" s="3" t="e">
        <f>+#REF!-'FTE´S old'!P20</f>
        <v>#REF!</v>
      </c>
      <c r="Q21" s="3" t="e">
        <f>+#REF!-'FTE´S old'!Q20</f>
        <v>#REF!</v>
      </c>
      <c r="R21" s="3" t="e">
        <f>+#REF!-'FTE´S old'!R20</f>
        <v>#REF!</v>
      </c>
      <c r="S21" s="3" t="e">
        <f>+#REF!-'FTE´S old'!S20</f>
        <v>#REF!</v>
      </c>
      <c r="T21" s="3" t="e">
        <f>+#REF!-'FTE´S old'!T20</f>
        <v>#REF!</v>
      </c>
      <c r="U21" s="3" t="e">
        <f>+#REF!-'FTE´S old'!U20</f>
        <v>#REF!</v>
      </c>
      <c r="V21" s="3" t="e">
        <f>+#REF!-'FTE´S old'!V20</f>
        <v>#REF!</v>
      </c>
      <c r="W21" s="3" t="e">
        <f>+#REF!-'FTE´S old'!W20</f>
        <v>#REF!</v>
      </c>
      <c r="X21" s="3" t="e">
        <f>+#REF!-'FTE´S old'!X20</f>
        <v>#REF!</v>
      </c>
      <c r="Y21" s="3"/>
    </row>
    <row r="22" spans="2:37">
      <c r="T22" s="26">
        <f>+T20-O20</f>
        <v>-45.579999999999927</v>
      </c>
      <c r="X22" s="26">
        <f>+X20-O20</f>
        <v>-37.579999999999927</v>
      </c>
      <c r="Y22" s="26"/>
    </row>
    <row r="23" spans="2:37">
      <c r="D23" s="45"/>
      <c r="O23" s="1">
        <v>2010</v>
      </c>
      <c r="P23" s="263">
        <v>2011</v>
      </c>
      <c r="Q23" s="263"/>
      <c r="R23" s="263"/>
      <c r="S23" s="263"/>
      <c r="T23" s="263">
        <v>2012</v>
      </c>
      <c r="U23" s="263"/>
      <c r="V23" s="121"/>
      <c r="W23" s="121"/>
      <c r="X23" s="121"/>
      <c r="Y23" s="121"/>
    </row>
    <row r="24" spans="2:37">
      <c r="C24" s="4"/>
      <c r="K24" s="2" t="s">
        <v>98</v>
      </c>
      <c r="L24" s="7" t="s">
        <v>64</v>
      </c>
      <c r="M24" s="7" t="s">
        <v>65</v>
      </c>
      <c r="N24" s="7" t="s">
        <v>66</v>
      </c>
      <c r="O24" s="7" t="s">
        <v>135</v>
      </c>
      <c r="P24" s="7" t="s">
        <v>136</v>
      </c>
      <c r="Q24" s="7" t="s">
        <v>137</v>
      </c>
      <c r="R24" s="7" t="s">
        <v>138</v>
      </c>
      <c r="S24" s="7" t="s">
        <v>139</v>
      </c>
      <c r="T24" s="7" t="s">
        <v>140</v>
      </c>
      <c r="U24" s="7" t="s">
        <v>141</v>
      </c>
      <c r="V24" s="7" t="s">
        <v>142</v>
      </c>
      <c r="W24" s="7" t="s">
        <v>170</v>
      </c>
      <c r="X24" s="7" t="s">
        <v>234</v>
      </c>
      <c r="Y24" s="7" t="s">
        <v>238</v>
      </c>
      <c r="Z24" s="7" t="s">
        <v>265</v>
      </c>
      <c r="AA24" s="7"/>
      <c r="AB24" s="7"/>
    </row>
    <row r="25" spans="2:37">
      <c r="H25" s="1" t="s">
        <v>99</v>
      </c>
      <c r="K25" s="2" t="s">
        <v>99</v>
      </c>
      <c r="L25" s="3">
        <f>+L8</f>
        <v>938.23</v>
      </c>
      <c r="M25" s="3">
        <f>+M8</f>
        <v>927.52</v>
      </c>
      <c r="N25" s="3">
        <f>+N8</f>
        <v>930.54</v>
      </c>
      <c r="O25" s="3">
        <f>+O11</f>
        <v>984.57999999999993</v>
      </c>
      <c r="P25" s="3">
        <f t="shared" ref="P25:X25" si="6">+P11</f>
        <v>974.04</v>
      </c>
      <c r="Q25" s="3">
        <f t="shared" si="6"/>
        <v>959.71770000000026</v>
      </c>
      <c r="R25" s="3">
        <f t="shared" si="6"/>
        <v>924.17000000000007</v>
      </c>
      <c r="S25" s="3">
        <f t="shared" si="6"/>
        <v>913.07999999999993</v>
      </c>
      <c r="T25" s="3">
        <f t="shared" si="6"/>
        <v>935</v>
      </c>
      <c r="U25" s="3">
        <f t="shared" si="6"/>
        <v>934</v>
      </c>
      <c r="V25" s="3">
        <f t="shared" si="6"/>
        <v>935.74</v>
      </c>
      <c r="W25" s="3">
        <f t="shared" si="6"/>
        <v>949.34</v>
      </c>
      <c r="X25" s="3">
        <f t="shared" si="6"/>
        <v>950</v>
      </c>
      <c r="Y25" s="3">
        <v>918</v>
      </c>
      <c r="Z25" s="45" t="e">
        <f>#REF!</f>
        <v>#REF!</v>
      </c>
      <c r="AA25" s="45"/>
      <c r="AB25" s="45"/>
    </row>
    <row r="26" spans="2:37">
      <c r="H26" s="1" t="s">
        <v>243</v>
      </c>
      <c r="K26" s="2" t="s">
        <v>100</v>
      </c>
      <c r="L26" s="3">
        <v>1058.52</v>
      </c>
      <c r="M26" s="3">
        <f>+M20</f>
        <v>1093.52</v>
      </c>
      <c r="N26" s="3">
        <f>+N20</f>
        <v>1089.3800000000001</v>
      </c>
      <c r="Q26" s="3">
        <f>Q27-Q25</f>
        <v>239.99999999999989</v>
      </c>
      <c r="R26" s="3">
        <f t="shared" ref="R26:X26" si="7">R27-R25</f>
        <v>243.25</v>
      </c>
      <c r="S26" s="3">
        <f t="shared" si="7"/>
        <v>245</v>
      </c>
      <c r="T26" s="3">
        <f t="shared" si="7"/>
        <v>244</v>
      </c>
      <c r="U26" s="3">
        <f t="shared" si="7"/>
        <v>239</v>
      </c>
      <c r="V26" s="3">
        <f t="shared" si="7"/>
        <v>241</v>
      </c>
      <c r="W26" s="3">
        <f t="shared" si="7"/>
        <v>240.19999999999993</v>
      </c>
      <c r="X26" s="3">
        <f t="shared" si="7"/>
        <v>237</v>
      </c>
      <c r="Y26" s="3">
        <v>253</v>
      </c>
      <c r="Z26" s="3" t="e">
        <f>Z27-Z25</f>
        <v>#REF!</v>
      </c>
      <c r="AA26" s="3"/>
      <c r="AB26" s="3"/>
    </row>
    <row r="27" spans="2:37" ht="15.75" customHeight="1">
      <c r="H27" s="1" t="s">
        <v>50</v>
      </c>
      <c r="N27" s="3"/>
      <c r="O27" s="3">
        <f t="shared" ref="O27:X27" si="8">+O20</f>
        <v>1224.58</v>
      </c>
      <c r="P27" s="3">
        <f t="shared" si="8"/>
        <v>1222.29</v>
      </c>
      <c r="Q27" s="3">
        <f t="shared" si="8"/>
        <v>1199.7177000000001</v>
      </c>
      <c r="R27" s="3">
        <f t="shared" si="8"/>
        <v>1167.42</v>
      </c>
      <c r="S27" s="3">
        <f t="shared" si="8"/>
        <v>1158.08</v>
      </c>
      <c r="T27" s="3">
        <f t="shared" si="8"/>
        <v>1179</v>
      </c>
      <c r="U27" s="3">
        <f t="shared" si="8"/>
        <v>1173</v>
      </c>
      <c r="V27" s="3">
        <f t="shared" si="8"/>
        <v>1176.74</v>
      </c>
      <c r="W27" s="3">
        <f t="shared" si="8"/>
        <v>1189.54</v>
      </c>
      <c r="X27" s="3">
        <f t="shared" si="8"/>
        <v>1187</v>
      </c>
      <c r="Y27" s="3" t="e">
        <f>#REF!</f>
        <v>#REF!</v>
      </c>
      <c r="Z27" s="3" t="e">
        <f>#REF!</f>
        <v>#REF!</v>
      </c>
      <c r="AA27" s="3"/>
      <c r="AB27" s="3"/>
    </row>
    <row r="28" spans="2:37" ht="13.5" customHeight="1">
      <c r="Q28" s="4">
        <f>+S25/O25-1</f>
        <v>-7.2619797273964504E-2</v>
      </c>
      <c r="R28" s="4"/>
    </row>
    <row r="29" spans="2:37" ht="13.5" customHeight="1">
      <c r="P29" s="6" t="s">
        <v>86</v>
      </c>
      <c r="Y29" s="3" t="e">
        <f>W27-Y27</f>
        <v>#REF!</v>
      </c>
    </row>
    <row r="30" spans="2:37" ht="13.5" customHeight="1">
      <c r="Y30" s="3" t="e">
        <f>Q27-Y27</f>
        <v>#REF!</v>
      </c>
    </row>
    <row r="31" spans="2:37" ht="13.5" customHeight="1">
      <c r="Y31" s="26" t="e">
        <f>D20-Y27</f>
        <v>#REF!</v>
      </c>
    </row>
    <row r="47" spans="35:37">
      <c r="AI47" s="6"/>
      <c r="AJ47" s="6"/>
      <c r="AK47" s="6"/>
    </row>
    <row r="48" spans="35:37">
      <c r="AI48" s="26"/>
      <c r="AJ48" s="26"/>
      <c r="AK48" s="26"/>
    </row>
    <row r="49" spans="32:37">
      <c r="AI49" s="26"/>
      <c r="AJ49" s="26"/>
      <c r="AK49" s="26"/>
    </row>
    <row r="51" spans="32:37">
      <c r="AG51" s="6"/>
      <c r="AH51" s="6"/>
      <c r="AI51" s="6"/>
      <c r="AJ51" s="6"/>
      <c r="AK51" s="6"/>
    </row>
    <row r="52" spans="32:37">
      <c r="AF52" s="6"/>
      <c r="AG52" s="3"/>
      <c r="AH52" s="3"/>
      <c r="AI52" s="3"/>
      <c r="AJ52" s="3"/>
      <c r="AK52" s="3"/>
    </row>
    <row r="53" spans="32:37">
      <c r="AF53" s="6"/>
      <c r="AG53" s="3"/>
      <c r="AH53" s="3"/>
      <c r="AI53" s="3"/>
      <c r="AJ53" s="3"/>
      <c r="AK53" s="3"/>
    </row>
    <row r="69" spans="18:44" ht="15" customHeight="1"/>
    <row r="70" spans="18:44">
      <c r="AL70" s="1">
        <v>2010</v>
      </c>
      <c r="AM70" s="263">
        <v>2011</v>
      </c>
      <c r="AN70" s="263"/>
      <c r="AO70" s="263"/>
      <c r="AP70" s="263"/>
      <c r="AQ70" s="263">
        <v>2012</v>
      </c>
      <c r="AR70" s="263"/>
    </row>
    <row r="71" spans="18:44">
      <c r="AI71" s="2" t="s">
        <v>114</v>
      </c>
      <c r="AJ71" s="2" t="s">
        <v>115</v>
      </c>
      <c r="AK71" s="2" t="s">
        <v>116</v>
      </c>
      <c r="AL71" s="2" t="s">
        <v>117</v>
      </c>
      <c r="AM71" s="2" t="s">
        <v>114</v>
      </c>
      <c r="AN71" s="2" t="s">
        <v>115</v>
      </c>
      <c r="AO71" s="2" t="s">
        <v>116</v>
      </c>
      <c r="AP71" s="2" t="s">
        <v>117</v>
      </c>
      <c r="AQ71" s="2" t="s">
        <v>114</v>
      </c>
      <c r="AR71" s="2" t="s">
        <v>115</v>
      </c>
    </row>
    <row r="72" spans="18:44">
      <c r="X72" s="1">
        <f>743+241+255+203+175+167+606</f>
        <v>2390</v>
      </c>
      <c r="AH72" s="6" t="s">
        <v>82</v>
      </c>
      <c r="AI72" s="3" t="e">
        <f>-#REF!</f>
        <v>#REF!</v>
      </c>
      <c r="AJ72" s="3" t="e">
        <f>-#REF!</f>
        <v>#REF!</v>
      </c>
      <c r="AK72" s="3" t="e">
        <f>-#REF!</f>
        <v>#REF!</v>
      </c>
      <c r="AL72" s="3" t="e">
        <f>-#REF!</f>
        <v>#REF!</v>
      </c>
      <c r="AM72" s="3" t="e">
        <f>-#REF!</f>
        <v>#REF!</v>
      </c>
      <c r="AN72" s="3" t="e">
        <f>-#REF!</f>
        <v>#REF!</v>
      </c>
      <c r="AO72" s="3" t="e">
        <f>-#REF!</f>
        <v>#REF!</v>
      </c>
      <c r="AP72" s="3" t="e">
        <f>-#REF!</f>
        <v>#REF!</v>
      </c>
      <c r="AQ72" s="3" t="e">
        <f>-#REF!</f>
        <v>#REF!</v>
      </c>
      <c r="AR72" s="3" t="e">
        <f>-#REF!</f>
        <v>#REF!</v>
      </c>
    </row>
    <row r="73" spans="18:44">
      <c r="AH73" s="6" t="s">
        <v>104</v>
      </c>
      <c r="AI73" s="3" t="e">
        <f>+#REF!</f>
        <v>#REF!</v>
      </c>
      <c r="AJ73" s="3" t="e">
        <f>+#REF!</f>
        <v>#REF!</v>
      </c>
      <c r="AK73" s="3" t="e">
        <f>+#REF!</f>
        <v>#REF!</v>
      </c>
      <c r="AL73" s="3" t="e">
        <f>+#REF!</f>
        <v>#REF!</v>
      </c>
      <c r="AM73" s="3" t="e">
        <f>+#REF!</f>
        <v>#REF!</v>
      </c>
      <c r="AN73" s="3" t="e">
        <f>+#REF!</f>
        <v>#REF!</v>
      </c>
      <c r="AO73" s="3" t="e">
        <f>+#REF!</f>
        <v>#REF!</v>
      </c>
      <c r="AP73" s="3" t="e">
        <f>+#REF!</f>
        <v>#REF!</v>
      </c>
      <c r="AQ73" s="3" t="e">
        <f>+#REF!</f>
        <v>#REF!</v>
      </c>
      <c r="AR73" s="3" t="e">
        <f>+#REF!</f>
        <v>#REF!</v>
      </c>
    </row>
    <row r="76" spans="18:44">
      <c r="R76" s="71"/>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8" customWidth="1"/>
    <col min="2" max="2" width="29.7265625" style="8" customWidth="1"/>
    <col min="3" max="24" width="8.7265625" style="8" customWidth="1"/>
    <col min="25" max="16384" width="9.1796875" style="8"/>
  </cols>
  <sheetData>
    <row r="2" spans="2:24" ht="15.75" customHeight="1">
      <c r="B2" s="59" t="s">
        <v>24</v>
      </c>
      <c r="C2" s="59"/>
      <c r="D2" s="59"/>
      <c r="E2" s="59"/>
      <c r="F2" s="59"/>
      <c r="G2" s="59"/>
      <c r="H2" s="59"/>
      <c r="I2" s="59"/>
      <c r="J2" s="59"/>
      <c r="K2" s="59"/>
      <c r="L2" s="59"/>
      <c r="M2" s="59"/>
      <c r="N2" s="59"/>
      <c r="O2" s="59"/>
      <c r="P2" s="59"/>
      <c r="Q2" s="59"/>
      <c r="R2" s="59"/>
      <c r="S2" s="59"/>
      <c r="T2" s="59"/>
      <c r="U2" s="59"/>
      <c r="V2" s="59"/>
      <c r="W2" s="59"/>
      <c r="X2" s="59"/>
    </row>
    <row r="3" spans="2:24" ht="13.5" customHeight="1">
      <c r="B3" s="8" t="s">
        <v>22</v>
      </c>
      <c r="C3" s="134" t="s">
        <v>80</v>
      </c>
      <c r="D3" s="134" t="s">
        <v>74</v>
      </c>
      <c r="E3" s="134" t="s">
        <v>75</v>
      </c>
      <c r="F3" s="134" t="s">
        <v>87</v>
      </c>
      <c r="G3" s="81" t="s">
        <v>64</v>
      </c>
      <c r="H3" s="81" t="s">
        <v>65</v>
      </c>
      <c r="I3" s="81" t="s">
        <v>66</v>
      </c>
      <c r="J3" s="81" t="s">
        <v>67</v>
      </c>
      <c r="K3" s="81" t="s">
        <v>68</v>
      </c>
      <c r="L3" s="81" t="s">
        <v>69</v>
      </c>
      <c r="M3" s="81" t="s">
        <v>70</v>
      </c>
      <c r="N3" s="81" t="s">
        <v>71</v>
      </c>
      <c r="O3" s="81" t="s">
        <v>113</v>
      </c>
      <c r="P3" s="81" t="s">
        <v>127</v>
      </c>
      <c r="Q3" s="81" t="s">
        <v>133</v>
      </c>
      <c r="R3" s="81" t="s">
        <v>158</v>
      </c>
      <c r="S3" s="81" t="s">
        <v>232</v>
      </c>
      <c r="T3" s="81" t="s">
        <v>236</v>
      </c>
      <c r="U3" s="81" t="s">
        <v>263</v>
      </c>
      <c r="V3" s="81" t="s">
        <v>281</v>
      </c>
      <c r="W3" s="81" t="s">
        <v>282</v>
      </c>
      <c r="X3" s="81" t="s">
        <v>283</v>
      </c>
    </row>
    <row r="4" spans="2:24" ht="13.5" customHeight="1">
      <c r="B4" s="8" t="s">
        <v>31</v>
      </c>
      <c r="D4" s="47"/>
      <c r="E4" s="9">
        <v>354780</v>
      </c>
      <c r="F4" s="9">
        <v>467604</v>
      </c>
      <c r="G4" s="9"/>
      <c r="H4" s="9">
        <v>460811</v>
      </c>
      <c r="I4" s="9">
        <v>439140</v>
      </c>
      <c r="J4" s="9">
        <v>455173</v>
      </c>
      <c r="K4" s="9">
        <v>431087</v>
      </c>
      <c r="L4" s="9">
        <v>452388</v>
      </c>
      <c r="M4" s="9">
        <v>444876</v>
      </c>
      <c r="N4" s="9">
        <v>574111</v>
      </c>
      <c r="O4" s="9">
        <v>591426</v>
      </c>
      <c r="P4" s="9">
        <v>591041</v>
      </c>
      <c r="Q4" s="9">
        <v>587117</v>
      </c>
      <c r="R4" s="9">
        <f>383768+195273</f>
        <v>579041</v>
      </c>
      <c r="S4" s="9">
        <v>571967.80439499998</v>
      </c>
      <c r="T4" s="9">
        <v>36698</v>
      </c>
      <c r="U4" s="9">
        <v>37273</v>
      </c>
      <c r="V4" s="9">
        <v>37874</v>
      </c>
      <c r="W4" s="9">
        <v>350884</v>
      </c>
      <c r="X4" s="9" t="e">
        <f>+[8]!LTCu_15</f>
        <v>#NAME?</v>
      </c>
    </row>
    <row r="5" spans="2:24" ht="13.5" customHeight="1">
      <c r="B5" s="8" t="s">
        <v>256</v>
      </c>
      <c r="D5" s="47"/>
      <c r="E5" s="9">
        <v>-28736</v>
      </c>
      <c r="F5" s="9">
        <v>-28736</v>
      </c>
      <c r="G5" s="9"/>
      <c r="H5" s="9">
        <v>-32808</v>
      </c>
      <c r="I5" s="9">
        <v>-29512</v>
      </c>
      <c r="J5" s="9">
        <v>-41843</v>
      </c>
      <c r="K5" s="9">
        <v>-37402</v>
      </c>
      <c r="L5" s="9">
        <v>-40691</v>
      </c>
      <c r="M5" s="9">
        <v>-43242</v>
      </c>
      <c r="N5" s="9">
        <v>-56289</v>
      </c>
      <c r="O5" s="9">
        <v>-52736</v>
      </c>
      <c r="P5" s="9">
        <v>-57152</v>
      </c>
      <c r="Q5" s="9">
        <v>-59806</v>
      </c>
      <c r="R5" s="9">
        <v>-59781</v>
      </c>
      <c r="S5" s="9">
        <v>-53328</v>
      </c>
      <c r="T5" s="9">
        <v>11276</v>
      </c>
      <c r="U5" s="9">
        <v>10764</v>
      </c>
      <c r="V5" s="9">
        <v>12174</v>
      </c>
      <c r="W5" s="9">
        <v>10430</v>
      </c>
      <c r="X5" s="9" t="e">
        <f>+[8]!LTCu_16</f>
        <v>#NAME?</v>
      </c>
    </row>
    <row r="6" spans="2:24" ht="13.5" customHeight="1">
      <c r="B6" s="8" t="s">
        <v>247</v>
      </c>
      <c r="D6" s="47"/>
      <c r="E6" s="9"/>
      <c r="F6" s="9"/>
      <c r="G6" s="9"/>
      <c r="H6" s="9"/>
      <c r="I6" s="9"/>
      <c r="J6" s="9"/>
      <c r="K6" s="9"/>
      <c r="L6" s="9"/>
      <c r="M6" s="9"/>
      <c r="N6" s="9"/>
      <c r="O6" s="9"/>
      <c r="P6" s="9"/>
      <c r="Q6" s="9"/>
      <c r="R6" s="9"/>
      <c r="S6" s="9"/>
      <c r="T6" s="9">
        <v>207313</v>
      </c>
      <c r="U6" s="9">
        <v>212014</v>
      </c>
      <c r="V6" s="9">
        <v>266168</v>
      </c>
      <c r="W6" s="9">
        <v>267791</v>
      </c>
      <c r="X6" s="9" t="e">
        <f>+[8]!LTCu_17</f>
        <v>#NAME?</v>
      </c>
    </row>
    <row r="7" spans="2:24" ht="13.5" customHeight="1">
      <c r="B7" s="8" t="s">
        <v>25</v>
      </c>
      <c r="D7" s="47"/>
      <c r="E7" s="9"/>
      <c r="F7" s="9"/>
      <c r="G7" s="9"/>
      <c r="H7" s="9"/>
      <c r="I7" s="9"/>
      <c r="J7" s="9"/>
      <c r="K7" s="9"/>
      <c r="L7" s="9"/>
      <c r="M7" s="9"/>
      <c r="N7" s="9"/>
      <c r="O7" s="9"/>
      <c r="P7" s="9"/>
      <c r="Q7" s="9"/>
      <c r="R7" s="9"/>
      <c r="S7" s="9"/>
      <c r="T7" s="9">
        <v>545</v>
      </c>
      <c r="U7" s="9">
        <v>550</v>
      </c>
      <c r="V7" s="9">
        <v>531</v>
      </c>
      <c r="W7" s="9">
        <v>521</v>
      </c>
      <c r="X7" s="9" t="e">
        <f>+[8]!LTCu_18</f>
        <v>#NAME?</v>
      </c>
    </row>
    <row r="8" spans="2:24" ht="13.5" customHeight="1">
      <c r="B8" s="8" t="s">
        <v>33</v>
      </c>
      <c r="D8" s="47"/>
      <c r="E8" s="9">
        <v>31673</v>
      </c>
      <c r="F8" s="9">
        <v>31673</v>
      </c>
      <c r="G8" s="9"/>
      <c r="H8" s="9">
        <v>38006</v>
      </c>
      <c r="I8" s="9">
        <v>35306</v>
      </c>
      <c r="J8" s="9">
        <v>37390</v>
      </c>
      <c r="K8" s="9">
        <v>38295</v>
      </c>
      <c r="L8" s="9">
        <v>35470</v>
      </c>
      <c r="M8" s="9">
        <v>41886</v>
      </c>
      <c r="N8" s="9">
        <v>43178</v>
      </c>
      <c r="O8" s="9">
        <v>44881</v>
      </c>
      <c r="P8" s="9">
        <v>44453</v>
      </c>
      <c r="Q8" s="9">
        <v>45173</v>
      </c>
      <c r="R8" s="9">
        <f>35706+11071</f>
        <v>46777</v>
      </c>
      <c r="S8" s="9">
        <v>46345</v>
      </c>
      <c r="T8" s="9">
        <v>354769</v>
      </c>
      <c r="U8" s="9">
        <v>357721</v>
      </c>
      <c r="V8" s="9">
        <v>348253</v>
      </c>
      <c r="W8" s="9">
        <v>350884</v>
      </c>
      <c r="X8" s="9" t="e">
        <f>+[8]!LTCu_19</f>
        <v>#NAME?</v>
      </c>
    </row>
    <row r="9" spans="2:24" ht="13.5" customHeight="1">
      <c r="B9" s="8" t="s">
        <v>32</v>
      </c>
      <c r="D9" s="47"/>
      <c r="E9" s="9">
        <v>17</v>
      </c>
      <c r="F9" s="9">
        <v>17</v>
      </c>
      <c r="G9" s="9"/>
      <c r="H9" s="9">
        <v>12</v>
      </c>
      <c r="I9" s="9">
        <v>506</v>
      </c>
      <c r="J9" s="9">
        <v>499</v>
      </c>
      <c r="K9" s="9">
        <v>525</v>
      </c>
      <c r="L9" s="9">
        <v>548</v>
      </c>
      <c r="M9" s="9">
        <v>554</v>
      </c>
      <c r="N9" s="9">
        <v>550</v>
      </c>
      <c r="O9" s="9">
        <v>583</v>
      </c>
      <c r="P9" s="9">
        <v>544</v>
      </c>
      <c r="Q9" s="9">
        <v>549</v>
      </c>
      <c r="R9" s="9">
        <v>573</v>
      </c>
      <c r="S9" s="9">
        <v>541</v>
      </c>
      <c r="T9" s="9">
        <v>-43344</v>
      </c>
      <c r="U9" s="9">
        <v>-42118</v>
      </c>
      <c r="V9" s="9">
        <v>-29226</v>
      </c>
      <c r="W9" s="9">
        <v>-29506</v>
      </c>
      <c r="X9" s="9" t="e">
        <f>+[8]!LTCu_20</f>
        <v>#NAME?</v>
      </c>
    </row>
    <row r="10" spans="2:24" ht="13.5" customHeight="1">
      <c r="B10" s="59" t="s">
        <v>89</v>
      </c>
      <c r="C10" s="62">
        <f t="shared" ref="C10:X10" si="0">+SUM(C4:C9)</f>
        <v>0</v>
      </c>
      <c r="D10" s="62">
        <f t="shared" si="0"/>
        <v>0</v>
      </c>
      <c r="E10" s="62">
        <f t="shared" si="0"/>
        <v>357734</v>
      </c>
      <c r="F10" s="62">
        <f t="shared" si="0"/>
        <v>470558</v>
      </c>
      <c r="G10" s="62">
        <f t="shared" si="0"/>
        <v>0</v>
      </c>
      <c r="H10" s="62">
        <f t="shared" si="0"/>
        <v>466021</v>
      </c>
      <c r="I10" s="62">
        <f t="shared" si="0"/>
        <v>445440</v>
      </c>
      <c r="J10" s="62">
        <f t="shared" si="0"/>
        <v>451219</v>
      </c>
      <c r="K10" s="62">
        <f t="shared" si="0"/>
        <v>432505</v>
      </c>
      <c r="L10" s="62">
        <f t="shared" si="0"/>
        <v>447715</v>
      </c>
      <c r="M10" s="62">
        <f t="shared" si="0"/>
        <v>444074</v>
      </c>
      <c r="N10" s="62">
        <f t="shared" si="0"/>
        <v>561550</v>
      </c>
      <c r="O10" s="62">
        <f t="shared" si="0"/>
        <v>584154</v>
      </c>
      <c r="P10" s="62">
        <f t="shared" si="0"/>
        <v>578886</v>
      </c>
      <c r="Q10" s="62">
        <f t="shared" si="0"/>
        <v>573033</v>
      </c>
      <c r="R10" s="62">
        <f t="shared" si="0"/>
        <v>566610</v>
      </c>
      <c r="S10" s="62">
        <f t="shared" si="0"/>
        <v>565525.80439499998</v>
      </c>
      <c r="T10" s="62">
        <f t="shared" si="0"/>
        <v>567257</v>
      </c>
      <c r="U10" s="62">
        <f t="shared" si="0"/>
        <v>576204</v>
      </c>
      <c r="V10" s="62">
        <f t="shared" si="0"/>
        <v>635774</v>
      </c>
      <c r="W10" s="62">
        <f t="shared" si="0"/>
        <v>951004</v>
      </c>
      <c r="X10" s="62" t="e">
        <f t="shared" si="0"/>
        <v>#NAME?</v>
      </c>
    </row>
    <row r="11" spans="2:24" ht="13.5" customHeight="1">
      <c r="C11" s="32"/>
      <c r="D11" s="32"/>
      <c r="E11" s="32"/>
      <c r="F11" s="32"/>
      <c r="G11" s="32"/>
      <c r="H11" s="47" t="e">
        <f>+H10-#REF!</f>
        <v>#REF!</v>
      </c>
      <c r="I11" s="47" t="e">
        <f>+I10-#REF!</f>
        <v>#REF!</v>
      </c>
      <c r="J11" s="47" t="e">
        <f>+J10-#REF!</f>
        <v>#REF!</v>
      </c>
      <c r="K11" s="47" t="e">
        <f>+K10-#REF!</f>
        <v>#REF!</v>
      </c>
      <c r="L11" s="47" t="e">
        <f>+L10-#REF!</f>
        <v>#REF!</v>
      </c>
      <c r="M11" s="47" t="e">
        <f>+M10-#REF!</f>
        <v>#REF!</v>
      </c>
      <c r="N11" s="47" t="e">
        <f>+N10-#REF!</f>
        <v>#REF!</v>
      </c>
    </row>
    <row r="12" spans="2:24" ht="15.75" customHeight="1">
      <c r="B12" s="59" t="s">
        <v>23</v>
      </c>
      <c r="C12" s="59"/>
      <c r="D12" s="59"/>
      <c r="E12" s="59"/>
      <c r="F12" s="59"/>
      <c r="G12" s="59"/>
      <c r="H12" s="59"/>
      <c r="I12" s="59"/>
      <c r="J12" s="59"/>
      <c r="K12" s="59"/>
      <c r="L12" s="59"/>
      <c r="M12" s="59"/>
      <c r="N12" s="59"/>
      <c r="O12" s="59"/>
      <c r="P12" s="59"/>
      <c r="Q12" s="59"/>
      <c r="R12" s="59"/>
      <c r="S12" s="59"/>
      <c r="T12" s="59"/>
      <c r="U12" s="59"/>
      <c r="V12" s="59"/>
      <c r="W12" s="59"/>
      <c r="X12" s="59"/>
    </row>
    <row r="13" spans="2:24" ht="13.5" customHeight="1">
      <c r="B13" s="8" t="s">
        <v>22</v>
      </c>
      <c r="C13" s="134" t="s">
        <v>80</v>
      </c>
      <c r="D13" s="134" t="s">
        <v>74</v>
      </c>
      <c r="E13" s="134" t="s">
        <v>75</v>
      </c>
      <c r="F13" s="134" t="s">
        <v>87</v>
      </c>
      <c r="G13" s="81" t="s">
        <v>64</v>
      </c>
      <c r="H13" s="81" t="s">
        <v>65</v>
      </c>
      <c r="I13" s="81" t="s">
        <v>66</v>
      </c>
      <c r="J13" s="81" t="s">
        <v>67</v>
      </c>
      <c r="K13" s="81" t="s">
        <v>68</v>
      </c>
      <c r="L13" s="81" t="s">
        <v>69</v>
      </c>
      <c r="M13" s="81" t="s">
        <v>70</v>
      </c>
      <c r="N13" s="81" t="s">
        <v>71</v>
      </c>
      <c r="O13" s="81" t="s">
        <v>113</v>
      </c>
      <c r="P13" s="81" t="s">
        <v>127</v>
      </c>
      <c r="Q13" s="81" t="s">
        <v>133</v>
      </c>
      <c r="R13" s="81" t="s">
        <v>158</v>
      </c>
      <c r="S13" s="81" t="s">
        <v>232</v>
      </c>
      <c r="T13" s="81" t="str">
        <f>+T3</f>
        <v>Q2 13</v>
      </c>
      <c r="U13" s="81" t="s">
        <v>263</v>
      </c>
      <c r="V13" s="81" t="s">
        <v>281</v>
      </c>
      <c r="W13" s="81" t="s">
        <v>282</v>
      </c>
      <c r="X13" s="81" t="s">
        <v>283</v>
      </c>
    </row>
    <row r="14" spans="2:24" ht="13.5" customHeight="1">
      <c r="B14" s="8" t="s">
        <v>92</v>
      </c>
      <c r="C14" s="47"/>
      <c r="D14" s="47"/>
      <c r="E14" s="47">
        <v>24037</v>
      </c>
      <c r="F14" s="47"/>
      <c r="G14" s="47"/>
      <c r="H14" s="47"/>
      <c r="I14" s="47"/>
      <c r="J14" s="47">
        <v>57707</v>
      </c>
      <c r="K14" s="47">
        <v>60169</v>
      </c>
      <c r="L14" s="47">
        <v>55419</v>
      </c>
      <c r="M14" s="47">
        <v>49001</v>
      </c>
      <c r="N14" s="47">
        <v>62175</v>
      </c>
      <c r="O14" s="47">
        <v>62065</v>
      </c>
      <c r="P14" s="47">
        <v>67951</v>
      </c>
      <c r="Q14" s="47">
        <v>74051</v>
      </c>
      <c r="R14" s="47">
        <v>84164</v>
      </c>
      <c r="S14" s="47">
        <v>72254</v>
      </c>
      <c r="T14" s="47">
        <v>72254</v>
      </c>
      <c r="U14" s="47">
        <v>78054</v>
      </c>
      <c r="V14" s="9">
        <v>70671</v>
      </c>
      <c r="W14" s="9">
        <v>60429</v>
      </c>
      <c r="X14" s="9" t="e">
        <f>+[8]!LTCr_Bank</f>
        <v>#NAME?</v>
      </c>
    </row>
    <row r="15" spans="2:24" ht="13.5" customHeight="1">
      <c r="B15" s="8" t="s">
        <v>93</v>
      </c>
      <c r="C15" s="47"/>
      <c r="D15" s="47"/>
      <c r="E15" s="47">
        <v>4733</v>
      </c>
      <c r="F15" s="47"/>
      <c r="G15" s="47"/>
      <c r="H15" s="47"/>
      <c r="I15" s="47"/>
      <c r="J15" s="47">
        <v>1294</v>
      </c>
      <c r="K15" s="47">
        <v>16548</v>
      </c>
      <c r="L15" s="47">
        <v>10646</v>
      </c>
      <c r="M15" s="47">
        <v>8897</v>
      </c>
      <c r="N15" s="47">
        <v>4720</v>
      </c>
      <c r="O15" s="8">
        <v>853</v>
      </c>
      <c r="P15" s="8">
        <v>822</v>
      </c>
      <c r="Q15" s="8">
        <v>10830</v>
      </c>
      <c r="R15" s="47">
        <v>13763</v>
      </c>
      <c r="S15" s="47">
        <v>24817</v>
      </c>
      <c r="T15" s="47">
        <v>24817</v>
      </c>
      <c r="U15" s="47">
        <v>29394</v>
      </c>
      <c r="V15" s="9">
        <v>26197</v>
      </c>
      <c r="W15" s="9">
        <v>31142</v>
      </c>
      <c r="X15" s="9" t="e">
        <f>+[8]!LTCr_MML</f>
        <v>#NAME?</v>
      </c>
    </row>
    <row r="16" spans="2:24" ht="13.5" customHeight="1">
      <c r="B16" s="8" t="s">
        <v>31</v>
      </c>
      <c r="C16" s="47"/>
      <c r="D16" s="47"/>
      <c r="E16" s="47">
        <v>4074</v>
      </c>
      <c r="F16" s="47"/>
      <c r="G16" s="47"/>
      <c r="H16" s="47"/>
      <c r="I16" s="47"/>
      <c r="J16" s="47">
        <v>29</v>
      </c>
      <c r="K16" s="47">
        <v>90</v>
      </c>
      <c r="L16" s="47">
        <v>47</v>
      </c>
      <c r="M16" s="47">
        <v>17</v>
      </c>
      <c r="N16" s="47">
        <v>19</v>
      </c>
      <c r="O16" s="8">
        <v>1</v>
      </c>
      <c r="P16" s="8">
        <v>8</v>
      </c>
      <c r="Q16" s="8">
        <v>8</v>
      </c>
      <c r="R16" s="47">
        <v>0</v>
      </c>
      <c r="S16" s="47">
        <v>0</v>
      </c>
      <c r="T16" s="47">
        <v>0</v>
      </c>
      <c r="U16" s="47">
        <v>0</v>
      </c>
      <c r="V16" s="9">
        <v>0</v>
      </c>
      <c r="W16" s="9">
        <v>0</v>
      </c>
      <c r="X16" s="9"/>
    </row>
    <row r="17" spans="2:24" ht="13.5" customHeight="1">
      <c r="B17" s="8" t="s">
        <v>33</v>
      </c>
      <c r="C17" s="47"/>
      <c r="D17" s="47"/>
      <c r="E17" s="47">
        <v>6353</v>
      </c>
      <c r="F17" s="47"/>
      <c r="G17" s="47"/>
      <c r="H17" s="47"/>
      <c r="I17" s="47"/>
      <c r="J17" s="47">
        <v>10175</v>
      </c>
      <c r="K17" s="47">
        <v>9607</v>
      </c>
      <c r="L17" s="47">
        <v>6502</v>
      </c>
      <c r="M17" s="47">
        <v>3042</v>
      </c>
      <c r="N17" s="47">
        <v>2963</v>
      </c>
      <c r="O17" s="8">
        <v>3839</v>
      </c>
      <c r="P17" s="8">
        <v>3760</v>
      </c>
      <c r="Q17" s="8">
        <v>3895</v>
      </c>
      <c r="R17" s="47">
        <v>3888</v>
      </c>
      <c r="S17" s="47">
        <v>7146</v>
      </c>
      <c r="T17" s="47">
        <v>7146</v>
      </c>
      <c r="U17" s="47">
        <v>6060.0000140000002</v>
      </c>
      <c r="V17" s="9">
        <v>5439</v>
      </c>
      <c r="W17" s="9">
        <v>3587.0000009999999</v>
      </c>
      <c r="X17" s="9" t="e">
        <f>+[8]!LTCr_Other</f>
        <v>#NAME?</v>
      </c>
    </row>
    <row r="18" spans="2:24" ht="13.5" customHeight="1">
      <c r="B18" s="8" t="s">
        <v>32</v>
      </c>
      <c r="C18" s="47"/>
      <c r="D18" s="47"/>
      <c r="E18" s="47">
        <v>-727</v>
      </c>
      <c r="F18" s="47"/>
      <c r="G18" s="47"/>
      <c r="H18" s="47"/>
      <c r="I18" s="47"/>
      <c r="J18" s="47">
        <v>-1359</v>
      </c>
      <c r="K18" s="47">
        <v>-1681</v>
      </c>
      <c r="L18" s="47">
        <v>-551</v>
      </c>
      <c r="M18" s="47">
        <v>-535</v>
      </c>
      <c r="N18" s="47">
        <v>-774</v>
      </c>
      <c r="O18" s="8">
        <v>-803</v>
      </c>
      <c r="P18" s="8">
        <v>-772</v>
      </c>
      <c r="Q18" s="8">
        <v>-777</v>
      </c>
      <c r="R18" s="47">
        <v>-804</v>
      </c>
      <c r="S18" s="47">
        <v>-773</v>
      </c>
      <c r="T18" s="47">
        <v>-773</v>
      </c>
      <c r="U18" s="47">
        <v>-306</v>
      </c>
      <c r="V18" s="9">
        <v>0</v>
      </c>
      <c r="W18" s="9">
        <v>0</v>
      </c>
      <c r="X18" s="9" t="e">
        <f>+[8]!LTCr_Prov</f>
        <v>#NAME?</v>
      </c>
    </row>
    <row r="19" spans="2:24" ht="13.5" customHeight="1">
      <c r="B19" s="59" t="s">
        <v>94</v>
      </c>
      <c r="C19" s="62">
        <f>+SUM(C14:C18)</f>
        <v>0</v>
      </c>
      <c r="D19" s="62">
        <f t="shared" ref="D19:X19" si="1">+SUM(D14:D18)</f>
        <v>0</v>
      </c>
      <c r="E19" s="62">
        <f t="shared" si="1"/>
        <v>38470</v>
      </c>
      <c r="F19" s="62">
        <f t="shared" si="1"/>
        <v>0</v>
      </c>
      <c r="G19" s="62">
        <f t="shared" si="1"/>
        <v>0</v>
      </c>
      <c r="H19" s="62">
        <f t="shared" si="1"/>
        <v>0</v>
      </c>
      <c r="I19" s="62">
        <f t="shared" si="1"/>
        <v>0</v>
      </c>
      <c r="J19" s="62">
        <f t="shared" si="1"/>
        <v>67846</v>
      </c>
      <c r="K19" s="62">
        <f t="shared" si="1"/>
        <v>84733</v>
      </c>
      <c r="L19" s="62">
        <f t="shared" si="1"/>
        <v>72063</v>
      </c>
      <c r="M19" s="62">
        <f t="shared" si="1"/>
        <v>60422</v>
      </c>
      <c r="N19" s="62">
        <f t="shared" si="1"/>
        <v>69103</v>
      </c>
      <c r="O19" s="62">
        <f t="shared" si="1"/>
        <v>65955</v>
      </c>
      <c r="P19" s="62">
        <f t="shared" si="1"/>
        <v>71769</v>
      </c>
      <c r="Q19" s="62">
        <f t="shared" si="1"/>
        <v>88007</v>
      </c>
      <c r="R19" s="62">
        <f t="shared" si="1"/>
        <v>101011</v>
      </c>
      <c r="S19" s="62">
        <f t="shared" si="1"/>
        <v>103444</v>
      </c>
      <c r="T19" s="62">
        <f t="shared" si="1"/>
        <v>103444</v>
      </c>
      <c r="U19" s="62">
        <f t="shared" si="1"/>
        <v>113202.000014</v>
      </c>
      <c r="V19" s="62">
        <f t="shared" si="1"/>
        <v>102307</v>
      </c>
      <c r="W19" s="62">
        <f t="shared" si="1"/>
        <v>95158.000000999993</v>
      </c>
      <c r="X19" s="62" t="e">
        <f t="shared" si="1"/>
        <v>#NAME?</v>
      </c>
    </row>
    <row r="20" spans="2:24" ht="13.5" customHeight="1">
      <c r="J20" s="47" t="e">
        <f>+J19-#REF!</f>
        <v>#REF!</v>
      </c>
      <c r="K20" s="47" t="e">
        <f>+K19-#REF!</f>
        <v>#REF!</v>
      </c>
      <c r="L20" s="47" t="e">
        <f>+L19-#REF!</f>
        <v>#REF!</v>
      </c>
      <c r="M20" s="47" t="e">
        <f>+M19-#REF!</f>
        <v>#REF!</v>
      </c>
      <c r="N20" s="47" t="e">
        <f>+N19-#REF!</f>
        <v>#REF!</v>
      </c>
    </row>
    <row r="21" spans="2:24" ht="13.5" customHeight="1">
      <c r="B21" s="135" t="s">
        <v>95</v>
      </c>
      <c r="C21" s="136">
        <f>+C10+C19</f>
        <v>0</v>
      </c>
      <c r="D21" s="136">
        <f t="shared" ref="D21:X21" si="2">+D10+D19</f>
        <v>0</v>
      </c>
      <c r="E21" s="136">
        <f t="shared" si="2"/>
        <v>396204</v>
      </c>
      <c r="F21" s="136">
        <f t="shared" si="2"/>
        <v>470558</v>
      </c>
      <c r="G21" s="136">
        <f t="shared" si="2"/>
        <v>0</v>
      </c>
      <c r="H21" s="136">
        <f t="shared" si="2"/>
        <v>466021</v>
      </c>
      <c r="I21" s="136">
        <f t="shared" si="2"/>
        <v>445440</v>
      </c>
      <c r="J21" s="136">
        <f t="shared" si="2"/>
        <v>519065</v>
      </c>
      <c r="K21" s="136">
        <f t="shared" si="2"/>
        <v>517238</v>
      </c>
      <c r="L21" s="136">
        <f t="shared" si="2"/>
        <v>519778</v>
      </c>
      <c r="M21" s="136">
        <f t="shared" si="2"/>
        <v>504496</v>
      </c>
      <c r="N21" s="136">
        <f t="shared" si="2"/>
        <v>630653</v>
      </c>
      <c r="O21" s="136">
        <f t="shared" si="2"/>
        <v>650109</v>
      </c>
      <c r="P21" s="136">
        <f t="shared" si="2"/>
        <v>650655</v>
      </c>
      <c r="Q21" s="136">
        <f t="shared" si="2"/>
        <v>661040</v>
      </c>
      <c r="R21" s="136">
        <f t="shared" si="2"/>
        <v>667621</v>
      </c>
      <c r="S21" s="136">
        <f t="shared" si="2"/>
        <v>668969.80439499998</v>
      </c>
      <c r="T21" s="136">
        <f t="shared" si="2"/>
        <v>670701</v>
      </c>
      <c r="U21" s="136">
        <f t="shared" si="2"/>
        <v>689406.00001399999</v>
      </c>
      <c r="V21" s="136">
        <f t="shared" si="2"/>
        <v>738081</v>
      </c>
      <c r="W21" s="136">
        <f t="shared" si="2"/>
        <v>1046162.000001</v>
      </c>
      <c r="X21" s="136" t="e">
        <f t="shared" si="2"/>
        <v>#NAME?</v>
      </c>
    </row>
    <row r="22" spans="2:24" ht="13.5" customHeight="1">
      <c r="C22" s="32"/>
      <c r="D22" s="32"/>
      <c r="E22" s="32"/>
      <c r="F22" s="32"/>
      <c r="G22" s="32"/>
    </row>
    <row r="23" spans="2:24" s="64" customFormat="1" ht="13.5" customHeight="1">
      <c r="C23" s="65"/>
      <c r="D23" s="65"/>
      <c r="E23" s="65"/>
      <c r="F23" s="65"/>
      <c r="G23" s="65"/>
    </row>
    <row r="24" spans="2:24" ht="13.5" customHeight="1">
      <c r="C24" s="32"/>
      <c r="D24" s="32"/>
      <c r="E24" s="32"/>
      <c r="F24" s="32"/>
      <c r="G24" s="32"/>
    </row>
    <row r="25" spans="2:24" ht="13.5" customHeight="1">
      <c r="B25" s="59" t="s">
        <v>24</v>
      </c>
      <c r="C25" s="59"/>
      <c r="D25" s="59"/>
      <c r="E25" s="59"/>
      <c r="F25" s="59"/>
      <c r="G25" s="59"/>
      <c r="H25" s="59"/>
      <c r="I25" s="59"/>
      <c r="J25" s="59"/>
      <c r="K25" s="59"/>
      <c r="L25" s="59"/>
      <c r="M25" s="59"/>
      <c r="N25" s="59"/>
      <c r="O25" s="59"/>
      <c r="P25" s="59"/>
      <c r="Q25" s="59"/>
      <c r="R25" s="59"/>
      <c r="S25" s="59"/>
      <c r="T25" s="59"/>
      <c r="U25" s="59"/>
      <c r="V25" s="59"/>
      <c r="W25" s="59"/>
      <c r="X25" s="59"/>
    </row>
    <row r="26" spans="2:24" ht="13.5" customHeight="1">
      <c r="B26" s="8" t="s">
        <v>22</v>
      </c>
      <c r="C26" s="137" t="str">
        <f>+C3</f>
        <v>22.10.08</v>
      </c>
      <c r="D26" s="137" t="str">
        <f t="shared" ref="D26:T26" si="3">+D3</f>
        <v>31.12.08</v>
      </c>
      <c r="E26" s="137" t="str">
        <f t="shared" si="3"/>
        <v>31.12.09</v>
      </c>
      <c r="F26" s="137" t="str">
        <f t="shared" si="3"/>
        <v>8.1.10</v>
      </c>
      <c r="G26" s="137" t="str">
        <f t="shared" si="3"/>
        <v>Q1 10</v>
      </c>
      <c r="H26" s="137" t="str">
        <f t="shared" si="3"/>
        <v>Q2 10</v>
      </c>
      <c r="I26" s="137" t="str">
        <f t="shared" si="3"/>
        <v>Q3 10</v>
      </c>
      <c r="J26" s="137" t="str">
        <f t="shared" si="3"/>
        <v>Q4 10</v>
      </c>
      <c r="K26" s="137" t="str">
        <f t="shared" si="3"/>
        <v>Q1 11</v>
      </c>
      <c r="L26" s="137" t="str">
        <f t="shared" si="3"/>
        <v>Q2 11</v>
      </c>
      <c r="M26" s="137" t="str">
        <f t="shared" si="3"/>
        <v>Q3 11</v>
      </c>
      <c r="N26" s="137" t="str">
        <f t="shared" si="3"/>
        <v>Q4 11</v>
      </c>
      <c r="O26" s="137" t="str">
        <f t="shared" si="3"/>
        <v>Q1 12</v>
      </c>
      <c r="P26" s="137" t="str">
        <f t="shared" si="3"/>
        <v>Q2 12</v>
      </c>
      <c r="Q26" s="137" t="str">
        <f t="shared" si="3"/>
        <v>Q3 12</v>
      </c>
      <c r="R26" s="137" t="str">
        <f t="shared" si="3"/>
        <v>Q4 12</v>
      </c>
      <c r="S26" s="81" t="s">
        <v>232</v>
      </c>
      <c r="T26" s="137" t="str">
        <f t="shared" si="3"/>
        <v>Q2 13</v>
      </c>
      <c r="U26" s="81" t="s">
        <v>263</v>
      </c>
      <c r="V26" s="81" t="s">
        <v>281</v>
      </c>
      <c r="W26" s="81" t="s">
        <v>282</v>
      </c>
      <c r="X26" s="81" t="s">
        <v>283</v>
      </c>
    </row>
    <row r="27" spans="2:24" ht="13.5" customHeight="1">
      <c r="B27" s="8" t="s">
        <v>29</v>
      </c>
      <c r="C27" s="47"/>
      <c r="D27" s="47"/>
      <c r="E27" s="47"/>
      <c r="F27" s="47"/>
      <c r="G27" s="47"/>
      <c r="H27" s="47"/>
      <c r="I27" s="47"/>
      <c r="J27" s="47"/>
      <c r="K27" s="47"/>
      <c r="L27" s="47"/>
      <c r="M27" s="47"/>
      <c r="N27" s="47">
        <v>239288.2</v>
      </c>
      <c r="O27" s="47"/>
      <c r="P27" s="47"/>
      <c r="Q27" s="47"/>
      <c r="R27" s="47">
        <v>242773</v>
      </c>
      <c r="S27" s="47">
        <v>247245</v>
      </c>
      <c r="T27" s="47">
        <v>253868</v>
      </c>
      <c r="U27" s="47">
        <v>256626</v>
      </c>
      <c r="V27" s="47">
        <v>310491</v>
      </c>
      <c r="W27" s="47">
        <v>311941</v>
      </c>
      <c r="X27" s="9" t="e">
        <f>+[8]!LTCu_7</f>
        <v>#NAME?</v>
      </c>
    </row>
    <row r="28" spans="2:24" ht="13.5" customHeight="1">
      <c r="B28" s="8" t="s">
        <v>90</v>
      </c>
      <c r="C28" s="47"/>
      <c r="D28" s="47"/>
      <c r="E28" s="47"/>
      <c r="F28" s="47"/>
      <c r="G28" s="47"/>
      <c r="H28" s="47"/>
      <c r="I28" s="47"/>
      <c r="J28" s="47"/>
      <c r="K28" s="47"/>
      <c r="L28" s="47"/>
      <c r="M28" s="47"/>
      <c r="N28" s="47">
        <v>322261.5</v>
      </c>
      <c r="O28" s="47"/>
      <c r="P28" s="47"/>
      <c r="Q28" s="47"/>
      <c r="R28" s="47">
        <v>323837</v>
      </c>
      <c r="S28" s="47">
        <v>318280.80439499998</v>
      </c>
      <c r="T28" s="47">
        <v>313389</v>
      </c>
      <c r="U28" s="47">
        <v>319578</v>
      </c>
      <c r="V28" s="47">
        <v>325283</v>
      </c>
      <c r="W28" s="47">
        <v>330400</v>
      </c>
      <c r="X28" s="9" t="e">
        <f>+[8]!LTCu_14</f>
        <v>#NAME?</v>
      </c>
    </row>
    <row r="29" spans="2:24" ht="13.5" customHeight="1">
      <c r="B29" s="59" t="s">
        <v>89</v>
      </c>
      <c r="C29" s="62">
        <f t="shared" ref="C29:O29" si="4">+SUM(C27:C28)</f>
        <v>0</v>
      </c>
      <c r="D29" s="62">
        <f t="shared" si="4"/>
        <v>0</v>
      </c>
      <c r="E29" s="62">
        <f t="shared" si="4"/>
        <v>0</v>
      </c>
      <c r="F29" s="62">
        <f t="shared" si="4"/>
        <v>0</v>
      </c>
      <c r="G29" s="62">
        <f t="shared" si="4"/>
        <v>0</v>
      </c>
      <c r="H29" s="62">
        <f t="shared" si="4"/>
        <v>0</v>
      </c>
      <c r="I29" s="62">
        <f t="shared" si="4"/>
        <v>0</v>
      </c>
      <c r="J29" s="62">
        <f t="shared" si="4"/>
        <v>0</v>
      </c>
      <c r="K29" s="62">
        <f t="shared" si="4"/>
        <v>0</v>
      </c>
      <c r="L29" s="62">
        <f t="shared" si="4"/>
        <v>0</v>
      </c>
      <c r="M29" s="62">
        <f t="shared" si="4"/>
        <v>0</v>
      </c>
      <c r="N29" s="62">
        <f t="shared" si="4"/>
        <v>561549.69999999995</v>
      </c>
      <c r="O29" s="62">
        <f t="shared" si="4"/>
        <v>0</v>
      </c>
      <c r="P29" s="62"/>
      <c r="Q29" s="62"/>
      <c r="R29" s="62">
        <f>+SUM(R27:R28)</f>
        <v>566610</v>
      </c>
      <c r="S29" s="62">
        <f t="shared" ref="S29:X29" si="5">+SUM(S27:S28)</f>
        <v>565525.80439499998</v>
      </c>
      <c r="T29" s="62">
        <f t="shared" si="5"/>
        <v>567257</v>
      </c>
      <c r="U29" s="62">
        <f t="shared" si="5"/>
        <v>576204</v>
      </c>
      <c r="V29" s="62">
        <f t="shared" si="5"/>
        <v>635774</v>
      </c>
      <c r="W29" s="62">
        <f t="shared" si="5"/>
        <v>642341</v>
      </c>
      <c r="X29" s="62" t="e">
        <f t="shared" si="5"/>
        <v>#NAME?</v>
      </c>
    </row>
    <row r="30" spans="2:24" ht="13.5" customHeight="1">
      <c r="C30" s="32"/>
      <c r="D30" s="32"/>
      <c r="E30" s="32"/>
      <c r="F30" s="32"/>
      <c r="G30" s="32"/>
      <c r="T30" s="47">
        <f>+T29-T10</f>
        <v>0</v>
      </c>
      <c r="U30" s="47"/>
    </row>
    <row r="31" spans="2:24" ht="13.5" customHeight="1">
      <c r="C31" s="32"/>
      <c r="D31" s="32"/>
      <c r="E31" s="32"/>
      <c r="F31" s="32"/>
      <c r="G31" s="32"/>
    </row>
    <row r="32" spans="2:24" s="64" customFormat="1" ht="13.5" customHeight="1">
      <c r="C32" s="65"/>
      <c r="D32" s="65"/>
      <c r="E32" s="65"/>
      <c r="F32" s="65"/>
      <c r="G32" s="65"/>
    </row>
    <row r="33" spans="2:24" ht="13.5" customHeight="1">
      <c r="C33" s="32"/>
      <c r="D33" s="32"/>
      <c r="E33" s="32"/>
      <c r="F33" s="32"/>
      <c r="G33" s="32"/>
    </row>
    <row r="34" spans="2:24" ht="13.5" customHeight="1">
      <c r="C34" s="32"/>
      <c r="D34" s="32"/>
      <c r="E34" s="32"/>
      <c r="F34" s="32"/>
      <c r="G34" s="32"/>
    </row>
    <row r="35" spans="2:24" ht="13.5" customHeight="1">
      <c r="B35" s="11" t="s">
        <v>28</v>
      </c>
      <c r="D35" s="134">
        <v>3</v>
      </c>
      <c r="E35" s="134" t="str">
        <f t="shared" ref="E35:O35" si="6">+E3</f>
        <v>31.12.09</v>
      </c>
      <c r="F35" s="134" t="str">
        <f t="shared" si="6"/>
        <v>8.1.10</v>
      </c>
      <c r="G35" s="134" t="str">
        <f t="shared" si="6"/>
        <v>Q1 10</v>
      </c>
      <c r="H35" s="134" t="str">
        <f t="shared" si="6"/>
        <v>Q2 10</v>
      </c>
      <c r="I35" s="134" t="str">
        <f t="shared" si="6"/>
        <v>Q3 10</v>
      </c>
      <c r="J35" s="134" t="str">
        <f t="shared" si="6"/>
        <v>Q4 10</v>
      </c>
      <c r="K35" s="134" t="str">
        <f t="shared" si="6"/>
        <v>Q1 11</v>
      </c>
      <c r="L35" s="134" t="str">
        <f t="shared" si="6"/>
        <v>Q2 11</v>
      </c>
      <c r="M35" s="134" t="str">
        <f t="shared" si="6"/>
        <v>Q3 11</v>
      </c>
      <c r="N35" s="134" t="str">
        <f t="shared" si="6"/>
        <v>Q4 11</v>
      </c>
      <c r="O35" s="134" t="str">
        <f t="shared" si="6"/>
        <v>Q1 12</v>
      </c>
      <c r="P35" s="81" t="s">
        <v>127</v>
      </c>
      <c r="Q35" s="81" t="s">
        <v>133</v>
      </c>
      <c r="R35" s="134" t="str">
        <f>+R3</f>
        <v>Q4 12</v>
      </c>
      <c r="S35" s="81" t="s">
        <v>232</v>
      </c>
      <c r="T35" s="134" t="str">
        <f>+T3</f>
        <v>Q2 13</v>
      </c>
      <c r="U35" s="81" t="s">
        <v>263</v>
      </c>
      <c r="V35" s="81" t="s">
        <v>281</v>
      </c>
      <c r="W35" s="81" t="s">
        <v>282</v>
      </c>
      <c r="X35" s="81" t="s">
        <v>283</v>
      </c>
    </row>
    <row r="36" spans="2:24" ht="13.5" customHeight="1">
      <c r="B36" s="8" t="s">
        <v>29</v>
      </c>
      <c r="D36" s="32"/>
      <c r="E36" s="32">
        <v>0.155</v>
      </c>
      <c r="F36" s="32"/>
      <c r="G36" s="32"/>
      <c r="H36" s="32"/>
      <c r="I36" s="32"/>
      <c r="J36" s="32">
        <v>0.24678452411988056</v>
      </c>
      <c r="K36" s="32"/>
      <c r="L36" s="63">
        <v>0.24199999999999999</v>
      </c>
      <c r="M36" s="32">
        <v>0.24411546002861803</v>
      </c>
      <c r="N36" s="63">
        <v>0.39689876047489187</v>
      </c>
      <c r="O36" s="63">
        <v>0.38973996213779494</v>
      </c>
      <c r="P36" s="63">
        <v>0.39115419261500256</v>
      </c>
      <c r="Q36" s="63">
        <v>0.41399999999999998</v>
      </c>
      <c r="R36" s="63">
        <v>0.42799999999999999</v>
      </c>
      <c r="S36" s="63">
        <v>0.438</v>
      </c>
      <c r="T36" s="63">
        <v>0.44500000000000001</v>
      </c>
      <c r="U36" s="63">
        <v>0.44500000000000001</v>
      </c>
      <c r="V36" s="191">
        <v>0.48799999999999999</v>
      </c>
      <c r="W36" s="191">
        <v>0.48599999999999999</v>
      </c>
      <c r="X36" s="63" t="e">
        <f>+[8]!LoansAndRecBySec_1</f>
        <v>#NAME?</v>
      </c>
    </row>
    <row r="37" spans="2:24" ht="13.5" customHeight="1">
      <c r="B37" s="8" t="s">
        <v>205</v>
      </c>
      <c r="D37" s="32"/>
      <c r="E37" s="32">
        <v>0.14799999999999999</v>
      </c>
      <c r="F37" s="32"/>
      <c r="G37" s="32"/>
      <c r="H37" s="32"/>
      <c r="I37" s="32"/>
      <c r="J37" s="32">
        <v>0.13018125617688139</v>
      </c>
      <c r="K37" s="32"/>
      <c r="L37" s="63">
        <v>0.11799999999999999</v>
      </c>
      <c r="M37" s="32">
        <v>0.1195573894778158</v>
      </c>
      <c r="N37" s="63">
        <v>9.8111190506833021E-2</v>
      </c>
      <c r="O37" s="63">
        <v>9.022724419669978E-2</v>
      </c>
      <c r="P37" s="63">
        <v>0.1022078926220349</v>
      </c>
      <c r="Q37" s="63">
        <v>0.106</v>
      </c>
      <c r="R37" s="63">
        <v>0.121</v>
      </c>
      <c r="S37" s="63">
        <v>0.126</v>
      </c>
      <c r="T37" s="63">
        <v>0.13100000000000001</v>
      </c>
      <c r="U37" s="63">
        <v>0.13500000000000001</v>
      </c>
      <c r="V37" s="191">
        <v>0.13100000000000001</v>
      </c>
      <c r="W37" s="191">
        <v>0.13600000000000001</v>
      </c>
      <c r="X37" s="63" t="e">
        <f>+[8]!LoansAndRecBySec_2</f>
        <v>#NAME?</v>
      </c>
    </row>
    <row r="38" spans="2:24" ht="13.5" customHeight="1">
      <c r="B38" s="8" t="s">
        <v>202</v>
      </c>
      <c r="D38" s="32"/>
      <c r="E38" s="32">
        <v>0.161</v>
      </c>
      <c r="F38" s="32"/>
      <c r="G38" s="32"/>
      <c r="H38" s="32"/>
      <c r="I38" s="32"/>
      <c r="J38" s="32">
        <v>0.1406940250176035</v>
      </c>
      <c r="K38" s="32"/>
      <c r="L38" s="63">
        <v>0.17199999999999999</v>
      </c>
      <c r="M38" s="32">
        <v>0.16885781011420023</v>
      </c>
      <c r="N38" s="63">
        <v>0.10839768306376503</v>
      </c>
      <c r="O38" s="63">
        <v>0.11291720031540946</v>
      </c>
      <c r="P38" s="63">
        <v>0.11839190319450689</v>
      </c>
      <c r="Q38" s="63">
        <v>0.105</v>
      </c>
      <c r="R38" s="63">
        <v>0.12</v>
      </c>
      <c r="S38" s="63">
        <v>0.11</v>
      </c>
      <c r="T38" s="63">
        <v>0.112</v>
      </c>
      <c r="U38" s="63">
        <v>0.104</v>
      </c>
      <c r="V38" s="191">
        <v>9.6000000000000002E-2</v>
      </c>
      <c r="W38" s="191">
        <v>9.7000000000000003E-2</v>
      </c>
      <c r="X38" s="63" t="e">
        <f>+[8]!LoansAndRecBySec_3</f>
        <v>#NAME?</v>
      </c>
    </row>
    <row r="39" spans="2:24" ht="13.5" customHeight="1">
      <c r="B39" s="8" t="s">
        <v>203</v>
      </c>
      <c r="D39" s="32"/>
      <c r="E39" s="32">
        <v>0.17399999999999999</v>
      </c>
      <c r="F39" s="32"/>
      <c r="G39" s="32"/>
      <c r="H39" s="32"/>
      <c r="I39" s="32"/>
      <c r="J39" s="32">
        <v>0.13259313434724437</v>
      </c>
      <c r="K39" s="32"/>
      <c r="L39" s="63">
        <v>9.6999999999999989E-2</v>
      </c>
      <c r="M39" s="32">
        <v>9.3627505676217762E-2</v>
      </c>
      <c r="N39" s="63">
        <v>7.7464149686807759E-2</v>
      </c>
      <c r="O39" s="63">
        <v>8.6315845599579513E-2</v>
      </c>
      <c r="P39" s="63">
        <v>9.1727664828757896E-2</v>
      </c>
      <c r="Q39" s="63">
        <v>7.9000000000000001E-2</v>
      </c>
      <c r="R39" s="63">
        <v>5.0999999999999997E-2</v>
      </c>
      <c r="S39" s="63">
        <v>0.05</v>
      </c>
      <c r="T39" s="63">
        <v>4.3999999999999997E-2</v>
      </c>
      <c r="U39" s="63">
        <v>4.2999999999999997E-2</v>
      </c>
      <c r="V39" s="191">
        <v>3.7999999999999999E-2</v>
      </c>
      <c r="W39" s="191">
        <v>3.5999999999999997E-2</v>
      </c>
      <c r="X39" s="63" t="e">
        <f>+[8]!LoansAndRecBySec_4</f>
        <v>#NAME?</v>
      </c>
    </row>
    <row r="40" spans="2:24" ht="13.5" customHeight="1">
      <c r="B40" s="8" t="s">
        <v>105</v>
      </c>
      <c r="D40" s="32"/>
      <c r="E40" s="32">
        <v>0.11799999999999999</v>
      </c>
      <c r="F40" s="32"/>
      <c r="G40" s="32"/>
      <c r="H40" s="32"/>
      <c r="I40" s="32"/>
      <c r="J40" s="32">
        <v>9.9091309038905617E-2</v>
      </c>
      <c r="K40" s="32"/>
      <c r="L40" s="63">
        <v>0.11600000000000001</v>
      </c>
      <c r="M40" s="32">
        <v>0.11711896773608901</v>
      </c>
      <c r="N40" s="63">
        <v>0.11742916638415185</v>
      </c>
      <c r="O40" s="63">
        <v>0.1279628823960498</v>
      </c>
      <c r="P40" s="63">
        <v>0.11069577902283166</v>
      </c>
      <c r="Q40" s="63">
        <v>0.111</v>
      </c>
      <c r="R40" s="63">
        <v>9.8000000000000004E-2</v>
      </c>
      <c r="S40" s="63">
        <v>0.09</v>
      </c>
      <c r="T40" s="138">
        <v>0.09</v>
      </c>
      <c r="U40" s="138">
        <v>8.2000000000000003E-2</v>
      </c>
      <c r="V40" s="191">
        <v>8.6999999999999994E-2</v>
      </c>
      <c r="W40" s="191">
        <v>8.1000000000000003E-2</v>
      </c>
      <c r="X40" s="63" t="e">
        <f>+[8]!LoansAndRecBySec_5</f>
        <v>#NAME?</v>
      </c>
    </row>
    <row r="41" spans="2:24" ht="13.5" customHeight="1">
      <c r="B41" s="8" t="s">
        <v>88</v>
      </c>
      <c r="D41" s="32"/>
      <c r="E41" s="32">
        <v>4.2999999999999997E-2</v>
      </c>
      <c r="F41" s="32"/>
      <c r="G41" s="32"/>
      <c r="H41" s="32"/>
      <c r="I41" s="32"/>
      <c r="J41" s="32">
        <v>0.11131767040804677</v>
      </c>
      <c r="K41" s="32"/>
      <c r="L41" s="63">
        <v>0.13200000000000001</v>
      </c>
      <c r="M41" s="32">
        <v>0.13270652614481465</v>
      </c>
      <c r="N41" s="63">
        <v>0.11086477481987377</v>
      </c>
      <c r="O41" s="63">
        <v>0.10548340751789811</v>
      </c>
      <c r="P41" s="63">
        <v>9.5997630754638519E-2</v>
      </c>
      <c r="Q41" s="63">
        <v>9.2999999999999999E-2</v>
      </c>
      <c r="R41" s="63">
        <v>4.3999999999999997E-2</v>
      </c>
      <c r="S41" s="63">
        <v>4.5999999999999999E-2</v>
      </c>
      <c r="T41" s="63">
        <v>4.4999999999999998E-2</v>
      </c>
      <c r="U41" s="63">
        <v>5.8999999999999997E-2</v>
      </c>
      <c r="V41" s="191">
        <v>4.2999999999999997E-2</v>
      </c>
      <c r="W41" s="191">
        <v>4.9000000000000002E-2</v>
      </c>
      <c r="X41" s="63" t="e">
        <f>+[8]!LoansAndRecBySec_6</f>
        <v>#NAME?</v>
      </c>
    </row>
    <row r="42" spans="2:24" ht="13.5" customHeight="1">
      <c r="B42" s="8" t="s">
        <v>208</v>
      </c>
      <c r="D42" s="32"/>
      <c r="E42" s="32">
        <v>0.122</v>
      </c>
      <c r="F42" s="32"/>
      <c r="G42" s="32"/>
      <c r="H42" s="32"/>
      <c r="I42" s="32"/>
      <c r="J42" s="32">
        <v>8.3196182501206903E-2</v>
      </c>
      <c r="K42" s="32"/>
      <c r="L42" s="63">
        <v>7.0999999999999994E-2</v>
      </c>
      <c r="M42" s="32">
        <v>7.1292755165555707E-2</v>
      </c>
      <c r="N42" s="63">
        <v>5.2755726851917352E-2</v>
      </c>
      <c r="O42" s="63">
        <v>5.0600871365502224E-2</v>
      </c>
      <c r="P42" s="63">
        <v>5.2251042794349487E-2</v>
      </c>
      <c r="Q42" s="63">
        <v>5.1999999999999998E-2</v>
      </c>
      <c r="R42" s="63">
        <v>0.04</v>
      </c>
      <c r="S42" s="63">
        <v>0.04</v>
      </c>
      <c r="T42" s="63">
        <v>0.04</v>
      </c>
      <c r="U42" s="63">
        <v>0.04</v>
      </c>
      <c r="V42" s="191">
        <v>3.4999999999999996E-2</v>
      </c>
      <c r="W42" s="191">
        <v>3.6999999999999998E-2</v>
      </c>
      <c r="X42" s="63" t="e">
        <f>+[8]!LoansAndRecBySec_7</f>
        <v>#NAME?</v>
      </c>
    </row>
    <row r="43" spans="2:24" ht="13.5" customHeight="1">
      <c r="B43" s="8" t="s">
        <v>174</v>
      </c>
      <c r="D43" s="32"/>
      <c r="E43" s="32">
        <v>5.2999999999999999E-2</v>
      </c>
      <c r="F43" s="32"/>
      <c r="G43" s="32"/>
      <c r="H43" s="32"/>
      <c r="I43" s="32"/>
      <c r="J43" s="32">
        <v>2.4149466201979105E-2</v>
      </c>
      <c r="K43" s="32"/>
      <c r="L43" s="63">
        <v>2.1999999999999999E-2</v>
      </c>
      <c r="M43" s="32">
        <v>2.1360533107240176E-2</v>
      </c>
      <c r="N43" s="63">
        <v>1.4575015993124888E-2</v>
      </c>
      <c r="O43" s="63">
        <v>1.3444265572403078E-2</v>
      </c>
      <c r="P43" s="63">
        <v>1.2534448758000642E-2</v>
      </c>
      <c r="Q43" s="63">
        <v>1.2E-2</v>
      </c>
      <c r="R43" s="63">
        <v>3.7999999999999999E-2</v>
      </c>
      <c r="S43" s="63">
        <v>0.03</v>
      </c>
      <c r="T43" s="138">
        <v>3.5000000000000003E-2</v>
      </c>
      <c r="U43" s="138">
        <v>3.4000000000000002E-2</v>
      </c>
      <c r="V43" s="191">
        <v>0.03</v>
      </c>
      <c r="W43" s="191">
        <v>2.9000000000000001E-2</v>
      </c>
      <c r="X43" s="63" t="e">
        <f>+[8]!LoansAndRecBySec_8</f>
        <v>#NAME?</v>
      </c>
    </row>
    <row r="44" spans="2:24" ht="13.5" customHeight="1">
      <c r="B44" s="8" t="s">
        <v>175</v>
      </c>
      <c r="D44" s="32"/>
      <c r="E44" s="32">
        <v>2.6000000000000002E-2</v>
      </c>
      <c r="F44" s="32"/>
      <c r="G44" s="32"/>
      <c r="H44" s="32"/>
      <c r="I44" s="32"/>
      <c r="J44" s="32">
        <v>3.199243218825177E-2</v>
      </c>
      <c r="K44" s="32"/>
      <c r="L44" s="63">
        <v>0.03</v>
      </c>
      <c r="M44" s="32">
        <v>3.1363052549448767E-2</v>
      </c>
      <c r="N44" s="63">
        <v>2.3503532218634361E-2</v>
      </c>
      <c r="O44" s="63">
        <v>2.3608320898663097E-2</v>
      </c>
      <c r="P44" s="63">
        <v>2.5039445409877514E-2</v>
      </c>
      <c r="Q44" s="63">
        <v>2.8000000000000001E-2</v>
      </c>
      <c r="R44" s="63">
        <v>3.3000000000000002E-2</v>
      </c>
      <c r="S44" s="63">
        <v>3.4000000000000002E-2</v>
      </c>
      <c r="T44" s="63">
        <v>3.3000000000000002E-2</v>
      </c>
      <c r="U44" s="63">
        <v>3.5000000000000003E-2</v>
      </c>
      <c r="V44" s="191">
        <v>3.1E-2</v>
      </c>
      <c r="W44" s="191">
        <v>3.1E-2</v>
      </c>
      <c r="X44" s="63" t="e">
        <f>+[8]!LoansAndRecBySec_9</f>
        <v>#NAME?</v>
      </c>
    </row>
    <row r="45" spans="2:24" ht="13.5" customHeight="1">
      <c r="B45" s="8" t="s">
        <v>207</v>
      </c>
      <c r="D45" s="32"/>
      <c r="E45" s="32"/>
      <c r="F45" s="32"/>
      <c r="G45" s="32"/>
      <c r="H45" s="32"/>
      <c r="I45" s="32"/>
      <c r="J45" s="32"/>
      <c r="K45" s="32"/>
      <c r="L45" s="63"/>
      <c r="M45" s="32"/>
      <c r="N45" s="63"/>
      <c r="O45" s="63"/>
      <c r="P45" s="63"/>
      <c r="Q45" s="63"/>
      <c r="R45" s="63">
        <v>1.7999999999999999E-2</v>
      </c>
      <c r="S45" s="63">
        <v>1.6E-2</v>
      </c>
      <c r="T45" s="63">
        <v>1.6E-2</v>
      </c>
      <c r="U45" s="63">
        <v>1.4999999999999999E-2</v>
      </c>
      <c r="V45" s="191">
        <v>1.4E-2</v>
      </c>
      <c r="W45" s="191">
        <v>1.0999999999999999E-2</v>
      </c>
      <c r="X45" s="63" t="e">
        <f>+[8]!LoansAndRecBySec_10</f>
        <v>#NAME?</v>
      </c>
    </row>
    <row r="46" spans="2:24" ht="13.5" customHeight="1">
      <c r="B46" s="8" t="s">
        <v>206</v>
      </c>
      <c r="D46" s="32"/>
      <c r="E46" s="32"/>
      <c r="F46" s="32"/>
      <c r="G46" s="32"/>
      <c r="H46" s="32"/>
      <c r="I46" s="32"/>
      <c r="J46" s="32"/>
      <c r="K46" s="32"/>
      <c r="L46" s="63"/>
      <c r="M46" s="32"/>
      <c r="N46" s="63"/>
      <c r="O46" s="63"/>
      <c r="P46" s="63"/>
      <c r="Q46" s="63"/>
      <c r="R46" s="63">
        <v>8.9999999999999993E-3</v>
      </c>
      <c r="S46" s="63">
        <v>8.9999999999999993E-3</v>
      </c>
      <c r="T46" s="63">
        <v>8.9999999999999993E-3</v>
      </c>
      <c r="U46" s="63">
        <v>8.0000000000000002E-3</v>
      </c>
      <c r="V46" s="191">
        <v>7.0000000000000001E-3</v>
      </c>
      <c r="W46" s="191">
        <v>7.0000000000000001E-3</v>
      </c>
      <c r="X46" s="63" t="e">
        <f>+[8]!LoansAndRecBySec_11</f>
        <v>#NAME?</v>
      </c>
    </row>
    <row r="47" spans="2:24" ht="13.5" customHeight="1">
      <c r="B47" s="11" t="s">
        <v>27</v>
      </c>
      <c r="D47" s="68">
        <f>+SUM(D36:D44)</f>
        <v>0</v>
      </c>
      <c r="E47" s="68">
        <f>+SUM(E36:E44)</f>
        <v>1</v>
      </c>
      <c r="F47" s="68">
        <f t="shared" ref="F47:Q47" si="7">+SUM(F36:F44)</f>
        <v>0</v>
      </c>
      <c r="G47" s="68">
        <f t="shared" si="7"/>
        <v>0</v>
      </c>
      <c r="H47" s="68">
        <f t="shared" si="7"/>
        <v>0</v>
      </c>
      <c r="I47" s="68">
        <f t="shared" si="7"/>
        <v>0</v>
      </c>
      <c r="J47" s="68">
        <f t="shared" si="7"/>
        <v>1</v>
      </c>
      <c r="K47" s="68">
        <f t="shared" si="7"/>
        <v>0</v>
      </c>
      <c r="L47" s="133">
        <f t="shared" si="7"/>
        <v>1</v>
      </c>
      <c r="M47" s="68">
        <f t="shared" si="7"/>
        <v>1</v>
      </c>
      <c r="N47" s="133">
        <f t="shared" si="7"/>
        <v>0.99999999999999989</v>
      </c>
      <c r="O47" s="68">
        <f t="shared" si="7"/>
        <v>1.0003</v>
      </c>
      <c r="P47" s="68">
        <f t="shared" si="7"/>
        <v>1.0000000000000002</v>
      </c>
      <c r="Q47" s="68">
        <f t="shared" si="7"/>
        <v>1</v>
      </c>
      <c r="R47" s="68">
        <f>+SUM(R36:R46)</f>
        <v>1</v>
      </c>
      <c r="S47" s="68">
        <f t="shared" ref="S47:X47" si="8">+SUM(S36:S46)</f>
        <v>0.98900000000000021</v>
      </c>
      <c r="T47" s="68">
        <f t="shared" si="8"/>
        <v>1.0000000000000002</v>
      </c>
      <c r="U47" s="68">
        <f t="shared" si="8"/>
        <v>1.0000000000000002</v>
      </c>
      <c r="V47" s="68">
        <f t="shared" si="8"/>
        <v>1</v>
      </c>
      <c r="W47" s="68">
        <f t="shared" si="8"/>
        <v>1</v>
      </c>
      <c r="X47" s="68" t="e">
        <f t="shared" si="8"/>
        <v>#NAME?</v>
      </c>
    </row>
    <row r="48" spans="2:24" ht="13.5" customHeight="1">
      <c r="J48" s="9"/>
      <c r="K48" s="9"/>
      <c r="L48" s="63"/>
      <c r="M48" s="63"/>
      <c r="N48" s="69"/>
      <c r="W48" s="63"/>
    </row>
    <row r="49" spans="2:24" ht="13.5" customHeight="1">
      <c r="B49" s="33"/>
      <c r="E49" s="11"/>
      <c r="G49" s="139"/>
      <c r="J49" s="9"/>
      <c r="K49" s="9"/>
      <c r="L49" s="63"/>
      <c r="M49" s="63"/>
      <c r="N49" s="69"/>
      <c r="O49" s="11"/>
      <c r="W49" s="69"/>
    </row>
    <row r="50" spans="2:24" ht="13.5" customHeight="1">
      <c r="B50" s="33"/>
      <c r="E50" s="69"/>
      <c r="H50" s="11"/>
      <c r="J50" s="9"/>
      <c r="K50" s="9"/>
      <c r="L50" s="63"/>
      <c r="M50" s="33" t="s">
        <v>29</v>
      </c>
      <c r="N50" s="9" t="e">
        <f t="shared" ref="N50:N58" si="9">X36*100</f>
        <v>#NAME?</v>
      </c>
    </row>
    <row r="51" spans="2:24" ht="13.5" customHeight="1">
      <c r="B51" s="33"/>
      <c r="J51" s="9"/>
      <c r="K51" s="9"/>
      <c r="L51" s="63"/>
      <c r="M51" s="33" t="s">
        <v>205</v>
      </c>
      <c r="N51" s="9" t="e">
        <f t="shared" si="9"/>
        <v>#NAME?</v>
      </c>
    </row>
    <row r="52" spans="2:24" ht="13.5" customHeight="1">
      <c r="B52" s="33"/>
      <c r="E52" s="69"/>
      <c r="J52" s="9"/>
      <c r="L52" s="63"/>
      <c r="M52" s="33" t="s">
        <v>202</v>
      </c>
      <c r="N52" s="9" t="e">
        <f t="shared" si="9"/>
        <v>#NAME?</v>
      </c>
    </row>
    <row r="53" spans="2:24" ht="13.5" customHeight="1">
      <c r="B53" s="33"/>
      <c r="E53" s="69"/>
      <c r="J53" s="9"/>
      <c r="K53" s="9"/>
      <c r="L53" s="63"/>
      <c r="M53" s="33" t="s">
        <v>203</v>
      </c>
      <c r="N53" s="9" t="e">
        <f t="shared" si="9"/>
        <v>#NAME?</v>
      </c>
      <c r="X53" s="9"/>
    </row>
    <row r="54" spans="2:24" ht="13.5" customHeight="1">
      <c r="B54" s="33"/>
      <c r="E54" s="133"/>
      <c r="J54" s="9"/>
      <c r="K54" s="9"/>
      <c r="L54" s="63"/>
      <c r="M54" s="33" t="s">
        <v>105</v>
      </c>
      <c r="N54" s="9" t="e">
        <f t="shared" si="9"/>
        <v>#NAME?</v>
      </c>
      <c r="X54" s="9"/>
    </row>
    <row r="55" spans="2:24" ht="13.5" customHeight="1">
      <c r="B55" s="33"/>
      <c r="M55" s="33" t="s">
        <v>88</v>
      </c>
      <c r="N55" s="9" t="e">
        <f t="shared" si="9"/>
        <v>#NAME?</v>
      </c>
      <c r="X55" s="44"/>
    </row>
    <row r="56" spans="2:24" ht="13.5" customHeight="1">
      <c r="B56" s="33"/>
      <c r="F56" s="11"/>
      <c r="G56" s="11"/>
      <c r="M56" s="33" t="s">
        <v>245</v>
      </c>
      <c r="N56" s="9" t="e">
        <f t="shared" si="9"/>
        <v>#NAME?</v>
      </c>
      <c r="V56" s="11"/>
      <c r="W56" s="81"/>
    </row>
    <row r="57" spans="2:24" ht="13.5" customHeight="1">
      <c r="B57" s="33"/>
      <c r="G57" s="70"/>
      <c r="M57" s="33" t="s">
        <v>174</v>
      </c>
      <c r="N57" s="9" t="e">
        <f t="shared" si="9"/>
        <v>#NAME?</v>
      </c>
      <c r="W57" s="47"/>
      <c r="X57" s="70"/>
    </row>
    <row r="58" spans="2:24" ht="13.5" customHeight="1">
      <c r="G58" s="63"/>
      <c r="M58" s="33" t="s">
        <v>175</v>
      </c>
      <c r="N58" s="9" t="e">
        <f t="shared" si="9"/>
        <v>#NAME?</v>
      </c>
      <c r="W58" s="47"/>
      <c r="X58" s="70"/>
    </row>
    <row r="59" spans="2:24" ht="13.5" customHeight="1">
      <c r="G59" s="63"/>
      <c r="M59" s="8" t="s">
        <v>246</v>
      </c>
      <c r="N59" s="9" t="e">
        <f>SUM(X45:X46)*100</f>
        <v>#NAME?</v>
      </c>
      <c r="W59" s="47"/>
      <c r="X59" s="70"/>
    </row>
    <row r="60" spans="2:24" ht="13.5" customHeight="1">
      <c r="G60" s="63"/>
      <c r="N60" s="9" t="e">
        <f>SUM(N50:N59)</f>
        <v>#NAME?</v>
      </c>
      <c r="W60" s="47"/>
      <c r="X60" s="70"/>
    </row>
    <row r="61" spans="2:24" ht="13.5" customHeight="1">
      <c r="G61" s="63"/>
      <c r="W61" s="47"/>
      <c r="X61" s="70"/>
    </row>
    <row r="62" spans="2:24" ht="13.5" customHeight="1">
      <c r="G62" s="63"/>
      <c r="N62" s="63"/>
      <c r="W62" s="47"/>
      <c r="X62" s="70"/>
    </row>
    <row r="63" spans="2:24" ht="13.5" customHeight="1">
      <c r="G63" s="63"/>
      <c r="W63" s="47"/>
      <c r="X63" s="70"/>
    </row>
    <row r="64" spans="2:24" ht="13.5" customHeight="1">
      <c r="G64" s="63"/>
      <c r="V64" s="11"/>
      <c r="W64" s="48"/>
      <c r="X64" s="63"/>
    </row>
    <row r="67" spans="2:23" ht="13.5" customHeight="1">
      <c r="V67" s="11"/>
      <c r="W67" s="81"/>
    </row>
    <row r="68" spans="2:23" s="64" customFormat="1" ht="13.5" customHeight="1"/>
    <row r="70" spans="2:23" ht="13.5" customHeight="1">
      <c r="C70" s="47"/>
      <c r="F70" s="63"/>
      <c r="H70" s="63"/>
      <c r="J70" s="63"/>
      <c r="N70" s="47"/>
      <c r="O70" s="47"/>
    </row>
    <row r="71" spans="2:23" ht="13.5" customHeight="1">
      <c r="C71" s="11">
        <v>2009</v>
      </c>
      <c r="D71" s="11">
        <v>2010</v>
      </c>
      <c r="E71" s="11">
        <v>2011</v>
      </c>
      <c r="F71" s="11">
        <v>2012</v>
      </c>
      <c r="G71" s="39" t="s">
        <v>234</v>
      </c>
      <c r="H71" s="39" t="s">
        <v>238</v>
      </c>
      <c r="I71" s="39" t="s">
        <v>265</v>
      </c>
      <c r="J71" s="39" t="s">
        <v>293</v>
      </c>
      <c r="K71" s="39" t="s">
        <v>294</v>
      </c>
      <c r="L71" s="39" t="s">
        <v>295</v>
      </c>
      <c r="N71" s="47"/>
      <c r="O71" s="47"/>
    </row>
    <row r="72" spans="2:23" ht="13.5" customHeight="1">
      <c r="B72" s="8" t="s">
        <v>209</v>
      </c>
      <c r="C72" s="47">
        <v>68.706999999999994</v>
      </c>
      <c r="D72" s="47">
        <v>69.908703834999997</v>
      </c>
      <c r="E72" s="47">
        <v>224.739</v>
      </c>
      <c r="F72" s="47">
        <f>566.58*0.448</f>
        <v>253.82784000000004</v>
      </c>
      <c r="G72" s="47">
        <v>250.98500000000001</v>
      </c>
      <c r="H72" s="67">
        <v>248.20500000000001</v>
      </c>
      <c r="I72" s="67">
        <v>254.08699999999999</v>
      </c>
      <c r="J72" s="8">
        <v>284</v>
      </c>
      <c r="K72" s="67">
        <v>287.99700000000001</v>
      </c>
      <c r="L72" s="67" t="e">
        <f>+[8]!Assets_CPI_13/1000</f>
        <v>#NAME?</v>
      </c>
      <c r="N72" s="47"/>
      <c r="O72" s="47"/>
    </row>
    <row r="73" spans="2:23" ht="13.5" customHeight="1">
      <c r="B73" s="8" t="s">
        <v>210</v>
      </c>
      <c r="C73" s="47">
        <v>65.032986653999998</v>
      </c>
      <c r="D73" s="47">
        <v>102.43</v>
      </c>
      <c r="E73" s="47">
        <v>168.35400000000001</v>
      </c>
      <c r="F73" s="47">
        <f>566.58*0.306</f>
        <v>173.37348</v>
      </c>
      <c r="G73" s="47">
        <v>189.756</v>
      </c>
      <c r="H73" s="67">
        <v>192.31100000000001</v>
      </c>
      <c r="I73" s="67">
        <v>195.01300000000001</v>
      </c>
      <c r="J73" s="8">
        <v>230</v>
      </c>
      <c r="K73" s="67">
        <v>238.315</v>
      </c>
      <c r="L73" s="67" t="e">
        <f>+([8]!Curr_risk-[8]!Assets_CPI_13)/1000</f>
        <v>#NAME?</v>
      </c>
      <c r="N73" s="47"/>
      <c r="O73" s="47"/>
    </row>
    <row r="74" spans="2:23" ht="13.5" customHeight="1">
      <c r="B74" s="8" t="s">
        <v>36</v>
      </c>
      <c r="C74" s="47">
        <v>223.994013346</v>
      </c>
      <c r="D74" s="47">
        <v>278.880296165</v>
      </c>
      <c r="E74" s="47">
        <v>168.45699999999999</v>
      </c>
      <c r="F74" s="47">
        <f>566.58*0.246</f>
        <v>139.37868</v>
      </c>
      <c r="G74" s="47">
        <v>124.785</v>
      </c>
      <c r="H74" s="67">
        <v>126.74100000000001</v>
      </c>
      <c r="I74" s="67">
        <v>127.104</v>
      </c>
      <c r="J74" s="8">
        <v>122</v>
      </c>
      <c r="K74" s="9">
        <v>116.029</v>
      </c>
      <c r="L74" s="67">
        <f>SUM('[9]Notes#3'!$F$543:$P$543)/1000</f>
        <v>0</v>
      </c>
      <c r="N74" s="48"/>
      <c r="O74" s="48"/>
    </row>
    <row r="75" spans="2:23" ht="13.5" customHeight="1">
      <c r="B75" s="8" t="s">
        <v>27</v>
      </c>
      <c r="C75" s="48">
        <f>SUM(C72:C74)</f>
        <v>357.73400000000004</v>
      </c>
      <c r="D75" s="48">
        <f>SUM(D72:D74)</f>
        <v>451.21899999999999</v>
      </c>
      <c r="E75" s="48">
        <f>SUM(E72:E74)</f>
        <v>561.54999999999995</v>
      </c>
      <c r="F75" s="48">
        <f t="shared" ref="F75:L75" si="10">SUM(F72:F74)</f>
        <v>566.58000000000004</v>
      </c>
      <c r="G75" s="48">
        <f t="shared" si="10"/>
        <v>565.52599999999995</v>
      </c>
      <c r="H75" s="48">
        <f t="shared" si="10"/>
        <v>567.25700000000006</v>
      </c>
      <c r="I75" s="48">
        <f t="shared" si="10"/>
        <v>576.20400000000006</v>
      </c>
      <c r="J75" s="48">
        <f t="shared" si="10"/>
        <v>636</v>
      </c>
      <c r="K75" s="48">
        <f t="shared" si="10"/>
        <v>642.34100000000001</v>
      </c>
      <c r="L75" s="48" t="e">
        <f t="shared" si="10"/>
        <v>#NAME?</v>
      </c>
      <c r="O75" s="47"/>
    </row>
    <row r="76" spans="2:23" ht="13.5" customHeight="1">
      <c r="N76" s="39"/>
      <c r="O76" s="39"/>
    </row>
    <row r="77" spans="2:23" ht="13.5" customHeight="1">
      <c r="C77" s="11">
        <v>2009</v>
      </c>
      <c r="D77" s="11">
        <v>2010</v>
      </c>
      <c r="E77" s="11">
        <v>2011</v>
      </c>
      <c r="F77" s="11">
        <v>2012</v>
      </c>
      <c r="G77" s="39" t="s">
        <v>234</v>
      </c>
      <c r="H77" s="39" t="s">
        <v>238</v>
      </c>
      <c r="I77" s="39" t="s">
        <v>265</v>
      </c>
      <c r="J77" s="39" t="s">
        <v>293</v>
      </c>
      <c r="K77" s="39" t="s">
        <v>294</v>
      </c>
      <c r="L77" s="39" t="s">
        <v>295</v>
      </c>
      <c r="N77" s="63"/>
      <c r="O77" s="63"/>
    </row>
    <row r="78" spans="2:23" ht="13.5" customHeight="1">
      <c r="B78" s="8" t="s">
        <v>209</v>
      </c>
      <c r="C78" s="47">
        <f>(C72/$C$75)*100</f>
        <v>19.20616994750289</v>
      </c>
      <c r="D78" s="47">
        <f>(D72/$D$75)*100</f>
        <v>15.49329789636518</v>
      </c>
      <c r="E78" s="47">
        <f>(E72/$E$75)*100</f>
        <v>40.021191345383315</v>
      </c>
      <c r="F78" s="47">
        <v>45</v>
      </c>
      <c r="G78" s="47">
        <f>(G72/$G$75)*100</f>
        <v>44.38080654116699</v>
      </c>
      <c r="H78" s="47">
        <f>(H72/$H$75)*100</f>
        <v>43.7552996260954</v>
      </c>
      <c r="I78" s="47">
        <f>(I72/$I$75)*100</f>
        <v>44.09670880452061</v>
      </c>
      <c r="J78" s="47">
        <f>(J72/$J$75)*100</f>
        <v>44.654088050314463</v>
      </c>
      <c r="K78" s="47">
        <f>(K72/$K$75)*100</f>
        <v>44.835531283228072</v>
      </c>
      <c r="L78" s="47" t="e">
        <f>(L72/$L$75)*100</f>
        <v>#NAME?</v>
      </c>
      <c r="N78" s="63"/>
      <c r="O78" s="63"/>
    </row>
    <row r="79" spans="2:23" ht="13.5" customHeight="1">
      <c r="B79" s="8" t="s">
        <v>210</v>
      </c>
      <c r="C79" s="47">
        <f>(C73/$C$75)*100</f>
        <v>18.179146140428358</v>
      </c>
      <c r="D79" s="47">
        <f>(D73/$D$75)*100</f>
        <v>22.700728471097182</v>
      </c>
      <c r="E79" s="47">
        <f>(E73/$E$75)*100</f>
        <v>29.980233282877755</v>
      </c>
      <c r="F79" s="47">
        <v>31</v>
      </c>
      <c r="G79" s="47">
        <f>(G73/$G$75)*100</f>
        <v>33.553894957968339</v>
      </c>
      <c r="H79" s="47">
        <f>(H73/$H$75)*100</f>
        <v>33.901917473032505</v>
      </c>
      <c r="I79" s="47">
        <f>(I73/$I$75)*100</f>
        <v>33.844437039659567</v>
      </c>
      <c r="J79" s="47">
        <f>(J73/$J$75)*100</f>
        <v>36.163522012578611</v>
      </c>
      <c r="K79" s="47">
        <f>(K73/$K$75)*100</f>
        <v>37.101010211087257</v>
      </c>
      <c r="L79" s="47" t="e">
        <f>(L73/$L$75)*100</f>
        <v>#NAME?</v>
      </c>
      <c r="N79" s="63"/>
      <c r="O79" s="63"/>
    </row>
    <row r="80" spans="2:23" ht="13.5" customHeight="1">
      <c r="B80" s="8" t="s">
        <v>36</v>
      </c>
      <c r="C80" s="47">
        <f>(C74/$C$75)*100</f>
        <v>62.614683912068735</v>
      </c>
      <c r="D80" s="47">
        <f>(D74/$D$75)*100</f>
        <v>61.805973632537636</v>
      </c>
      <c r="E80" s="47">
        <f>(E74/$E$75)*100</f>
        <v>29.998575371738941</v>
      </c>
      <c r="F80" s="47">
        <v>24</v>
      </c>
      <c r="G80" s="47">
        <f>(G74/$G$75)*100</f>
        <v>22.065298500864682</v>
      </c>
      <c r="H80" s="47">
        <f>(H74/$H$75)*100</f>
        <v>22.342782900872091</v>
      </c>
      <c r="I80" s="47">
        <f>(I74/$I$75)*100</f>
        <v>22.058854155819812</v>
      </c>
      <c r="J80" s="47">
        <f>(J74/$J$75)*100</f>
        <v>19.182389937106919</v>
      </c>
      <c r="K80" s="47">
        <f>(K74/$K$75)*100</f>
        <v>18.063458505684675</v>
      </c>
      <c r="L80" s="47" t="e">
        <f>(L74/$L$75)*100</f>
        <v>#NAME?</v>
      </c>
      <c r="N80" s="63"/>
      <c r="O80" s="63"/>
    </row>
    <row r="81" spans="2:23" ht="13.5" customHeight="1">
      <c r="C81" s="48">
        <f t="shared" ref="C81:H81" si="11">SUM(C78:C80)</f>
        <v>99.999999999999972</v>
      </c>
      <c r="D81" s="48">
        <f t="shared" si="11"/>
        <v>100</v>
      </c>
      <c r="E81" s="48">
        <f t="shared" si="11"/>
        <v>100.00000000000001</v>
      </c>
      <c r="F81" s="48">
        <f t="shared" si="11"/>
        <v>100</v>
      </c>
      <c r="G81" s="48">
        <f t="shared" si="11"/>
        <v>100.00000000000001</v>
      </c>
      <c r="H81" s="48">
        <f t="shared" si="11"/>
        <v>100</v>
      </c>
      <c r="I81" s="48">
        <f>SUM(I78:I80)</f>
        <v>99.999999999999986</v>
      </c>
      <c r="J81" s="48">
        <f>SUM(J78:J80)</f>
        <v>99.999999999999986</v>
      </c>
      <c r="K81" s="48">
        <f>SUM(K78:K80)</f>
        <v>100</v>
      </c>
      <c r="L81" s="48" t="e">
        <f>SUM(L78:L80)</f>
        <v>#NAME?</v>
      </c>
      <c r="N81" s="63"/>
      <c r="O81" s="63"/>
    </row>
    <row r="82" spans="2:23" ht="13.5" customHeight="1">
      <c r="C82" s="63"/>
      <c r="D82" s="63"/>
      <c r="E82" s="63"/>
      <c r="F82" s="63"/>
      <c r="G82" s="63"/>
      <c r="H82" s="63"/>
      <c r="I82" s="63"/>
      <c r="J82" s="63"/>
      <c r="K82" s="63"/>
      <c r="L82" s="63"/>
      <c r="M82" s="63"/>
      <c r="N82" s="63"/>
      <c r="O82" s="63"/>
    </row>
    <row r="83" spans="2:23" ht="13.5" customHeight="1">
      <c r="C83" s="48"/>
      <c r="D83" s="48">
        <f>15+23+62</f>
        <v>100</v>
      </c>
      <c r="E83" s="48">
        <f>40+30+30</f>
        <v>100</v>
      </c>
      <c r="F83" s="48">
        <f>45+31+24</f>
        <v>100</v>
      </c>
      <c r="G83" s="48">
        <f>44+34+22</f>
        <v>100</v>
      </c>
      <c r="H83" s="63"/>
      <c r="I83" s="63"/>
      <c r="J83" s="63"/>
      <c r="K83" s="63"/>
      <c r="L83" s="63"/>
      <c r="M83" s="63"/>
      <c r="N83" s="63"/>
      <c r="O83" s="63"/>
    </row>
    <row r="84" spans="2:23" ht="13.5" customHeight="1">
      <c r="C84" s="63"/>
      <c r="D84" s="63"/>
      <c r="E84" s="63"/>
      <c r="F84" s="63"/>
      <c r="G84" s="63"/>
      <c r="H84" s="63"/>
      <c r="I84" s="63"/>
      <c r="J84" s="63"/>
      <c r="K84" s="63"/>
      <c r="L84" s="63"/>
      <c r="M84" s="63"/>
      <c r="N84" s="63"/>
      <c r="O84" s="63"/>
    </row>
    <row r="85" spans="2:23" ht="13.5" customHeight="1">
      <c r="C85" s="133"/>
      <c r="D85" s="133"/>
      <c r="E85" s="133"/>
      <c r="F85" s="133"/>
      <c r="G85" s="133"/>
      <c r="H85" s="133"/>
      <c r="I85" s="133"/>
      <c r="J85" s="133"/>
      <c r="K85" s="133"/>
      <c r="L85" s="133"/>
      <c r="M85" s="133"/>
      <c r="N85" s="133"/>
      <c r="O85" s="133"/>
    </row>
    <row r="87" spans="2:23" ht="13.5" customHeight="1">
      <c r="C87" s="11">
        <v>2009</v>
      </c>
      <c r="D87" s="11">
        <v>2010</v>
      </c>
      <c r="E87" s="11">
        <v>2011</v>
      </c>
      <c r="F87" s="11">
        <v>2012</v>
      </c>
      <c r="G87" s="39" t="s">
        <v>234</v>
      </c>
      <c r="H87" s="39" t="s">
        <v>238</v>
      </c>
      <c r="I87" s="39" t="s">
        <v>265</v>
      </c>
      <c r="J87" s="39" t="s">
        <v>293</v>
      </c>
      <c r="K87" s="39" t="s">
        <v>294</v>
      </c>
      <c r="L87" s="39" t="s">
        <v>295</v>
      </c>
    </row>
    <row r="88" spans="2:23" ht="13.5" customHeight="1">
      <c r="B88" s="8" t="s">
        <v>29</v>
      </c>
      <c r="D88" s="47">
        <v>121.82913000000001</v>
      </c>
      <c r="E88" s="47">
        <v>239.28800000000001</v>
      </c>
      <c r="F88" s="47">
        <v>242.74299999999999</v>
      </c>
      <c r="G88" s="47">
        <f t="shared" ref="G88:L89" si="12">S27/1000</f>
        <v>247.245</v>
      </c>
      <c r="H88" s="47">
        <f t="shared" si="12"/>
        <v>253.86799999999999</v>
      </c>
      <c r="I88" s="47">
        <f t="shared" si="12"/>
        <v>256.62599999999998</v>
      </c>
      <c r="J88" s="47">
        <f>V27/1000</f>
        <v>310.49099999999999</v>
      </c>
      <c r="K88" s="47">
        <f t="shared" si="12"/>
        <v>311.94099999999997</v>
      </c>
      <c r="L88" s="47" t="e">
        <f t="shared" si="12"/>
        <v>#NAME?</v>
      </c>
    </row>
    <row r="89" spans="2:23" ht="13.5" customHeight="1">
      <c r="B89" s="8" t="s">
        <v>90</v>
      </c>
      <c r="D89" s="47">
        <v>329.38986999999997</v>
      </c>
      <c r="E89" s="47">
        <v>322.262</v>
      </c>
      <c r="F89" s="47">
        <v>323.83699999999999</v>
      </c>
      <c r="G89" s="47">
        <f t="shared" si="12"/>
        <v>318.28080439499996</v>
      </c>
      <c r="H89" s="47">
        <f t="shared" si="12"/>
        <v>313.38900000000001</v>
      </c>
      <c r="I89" s="47">
        <f t="shared" si="12"/>
        <v>319.57799999999997</v>
      </c>
      <c r="J89" s="47">
        <f t="shared" si="12"/>
        <v>325.28300000000002</v>
      </c>
      <c r="K89" s="47">
        <f t="shared" si="12"/>
        <v>330.4</v>
      </c>
      <c r="L89" s="47" t="e">
        <f t="shared" si="12"/>
        <v>#NAME?</v>
      </c>
    </row>
    <row r="90" spans="2:23" ht="13.5" customHeight="1">
      <c r="D90" s="48">
        <f>SUM(D88:D89)</f>
        <v>451.21899999999999</v>
      </c>
      <c r="E90" s="48">
        <f>SUM(E88:E89)</f>
        <v>561.54999999999995</v>
      </c>
      <c r="F90" s="48">
        <f t="shared" ref="F90:L90" si="13">SUM(F88:F89)</f>
        <v>566.57999999999993</v>
      </c>
      <c r="G90" s="48">
        <f t="shared" si="13"/>
        <v>565.52580439500002</v>
      </c>
      <c r="H90" s="48">
        <f t="shared" si="13"/>
        <v>567.25700000000006</v>
      </c>
      <c r="I90" s="48">
        <f t="shared" si="13"/>
        <v>576.20399999999995</v>
      </c>
      <c r="J90" s="48">
        <f t="shared" si="13"/>
        <v>635.774</v>
      </c>
      <c r="K90" s="48">
        <f t="shared" si="13"/>
        <v>642.34099999999989</v>
      </c>
      <c r="L90" s="48" t="e">
        <f t="shared" si="13"/>
        <v>#NAME?</v>
      </c>
    </row>
    <row r="91" spans="2:23" ht="13.5" customHeight="1">
      <c r="F91" s="63"/>
      <c r="G91" s="63"/>
      <c r="H91" s="63"/>
    </row>
    <row r="92" spans="2:23" ht="13.5" customHeight="1">
      <c r="D92" s="11">
        <v>2010</v>
      </c>
      <c r="E92" s="11">
        <v>2011</v>
      </c>
      <c r="F92" s="11">
        <v>2012</v>
      </c>
      <c r="G92" s="39" t="s">
        <v>234</v>
      </c>
      <c r="H92" s="39" t="s">
        <v>238</v>
      </c>
      <c r="I92" s="39" t="s">
        <v>265</v>
      </c>
      <c r="J92" s="39" t="s">
        <v>293</v>
      </c>
      <c r="K92" s="39" t="s">
        <v>294</v>
      </c>
      <c r="L92" s="39" t="s">
        <v>295</v>
      </c>
      <c r="V92" s="8">
        <v>30</v>
      </c>
      <c r="W92" s="8">
        <v>62</v>
      </c>
    </row>
    <row r="93" spans="2:23" ht="13.5" customHeight="1">
      <c r="B93" s="8" t="s">
        <v>29</v>
      </c>
      <c r="D93" s="69">
        <f t="shared" ref="D93:L93" si="14">D88/D$90</f>
        <v>0.27</v>
      </c>
      <c r="E93" s="69">
        <f t="shared" si="14"/>
        <v>0.42612055916659253</v>
      </c>
      <c r="F93" s="69">
        <f t="shared" si="14"/>
        <v>0.4284355254333016</v>
      </c>
      <c r="G93" s="69">
        <f t="shared" si="14"/>
        <v>0.43719490442085646</v>
      </c>
      <c r="H93" s="69">
        <f t="shared" si="14"/>
        <v>0.44753612560091804</v>
      </c>
      <c r="I93" s="69">
        <f t="shared" si="14"/>
        <v>0.44537351354728533</v>
      </c>
      <c r="J93" s="69">
        <f t="shared" si="14"/>
        <v>0.48836693542044812</v>
      </c>
      <c r="K93" s="69">
        <f t="shared" si="14"/>
        <v>0.48563146366182453</v>
      </c>
      <c r="L93" s="69" t="e">
        <f t="shared" si="14"/>
        <v>#NAME?</v>
      </c>
      <c r="V93" s="8">
        <v>30</v>
      </c>
      <c r="W93" s="8">
        <v>23</v>
      </c>
    </row>
    <row r="94" spans="2:23" ht="13.5" customHeight="1">
      <c r="B94" s="8" t="s">
        <v>90</v>
      </c>
      <c r="D94" s="69">
        <f t="shared" ref="D94:L94" si="15">D89/D$90</f>
        <v>0.73</v>
      </c>
      <c r="E94" s="69">
        <f t="shared" si="15"/>
        <v>0.57387944083340758</v>
      </c>
      <c r="F94" s="69">
        <f t="shared" si="15"/>
        <v>0.57156447456669845</v>
      </c>
      <c r="G94" s="69">
        <f t="shared" si="15"/>
        <v>0.56280509557914349</v>
      </c>
      <c r="H94" s="69">
        <f t="shared" si="15"/>
        <v>0.55246387439908184</v>
      </c>
      <c r="I94" s="69">
        <f t="shared" si="15"/>
        <v>0.55462648645271462</v>
      </c>
      <c r="J94" s="69">
        <f t="shared" si="15"/>
        <v>0.51163306457955182</v>
      </c>
      <c r="K94" s="69">
        <f t="shared" si="15"/>
        <v>0.51436853633817559</v>
      </c>
      <c r="L94" s="69" t="e">
        <f t="shared" si="15"/>
        <v>#NAME?</v>
      </c>
      <c r="V94" s="8">
        <v>40</v>
      </c>
      <c r="W94" s="8">
        <v>15</v>
      </c>
    </row>
    <row r="95" spans="2:23" ht="13.5" customHeight="1">
      <c r="D95" s="133">
        <f t="shared" ref="D95:L95" si="16">SUM(D93:D94)</f>
        <v>1</v>
      </c>
      <c r="E95" s="133">
        <f t="shared" si="16"/>
        <v>1</v>
      </c>
      <c r="F95" s="133">
        <f t="shared" si="16"/>
        <v>1</v>
      </c>
      <c r="G95" s="133">
        <f t="shared" si="16"/>
        <v>1</v>
      </c>
      <c r="H95" s="133">
        <f t="shared" si="16"/>
        <v>0.99999999999999989</v>
      </c>
      <c r="I95" s="133">
        <f t="shared" si="16"/>
        <v>1</v>
      </c>
      <c r="J95" s="133">
        <f t="shared" si="16"/>
        <v>1</v>
      </c>
      <c r="K95" s="133">
        <f t="shared" si="16"/>
        <v>1</v>
      </c>
      <c r="L95" s="133" t="e">
        <f t="shared" si="16"/>
        <v>#NAME?</v>
      </c>
    </row>
    <row r="98" spans="2:12" ht="13.5" customHeight="1">
      <c r="C98" s="11">
        <v>2009</v>
      </c>
      <c r="D98" s="11">
        <v>2010</v>
      </c>
      <c r="E98" s="11">
        <v>2011</v>
      </c>
      <c r="F98" s="11">
        <v>2012</v>
      </c>
      <c r="G98" s="39" t="s">
        <v>234</v>
      </c>
      <c r="H98" s="39" t="s">
        <v>238</v>
      </c>
      <c r="I98" s="39" t="s">
        <v>265</v>
      </c>
      <c r="J98" s="39" t="s">
        <v>293</v>
      </c>
      <c r="K98" s="39" t="s">
        <v>294</v>
      </c>
      <c r="L98" s="39" t="s">
        <v>295</v>
      </c>
    </row>
    <row r="99" spans="2:12" ht="13.5" customHeight="1">
      <c r="B99" s="8" t="s">
        <v>247</v>
      </c>
      <c r="D99" s="8">
        <v>75</v>
      </c>
      <c r="E99" s="8">
        <v>196</v>
      </c>
      <c r="F99" s="8">
        <v>195</v>
      </c>
      <c r="G99" s="67">
        <v>201.38300000000001</v>
      </c>
      <c r="H99" s="67">
        <v>207.31299999999999</v>
      </c>
      <c r="I99" s="67">
        <v>212.01400000000001</v>
      </c>
      <c r="J99" s="67">
        <v>266.16800000000001</v>
      </c>
      <c r="K99" s="67">
        <v>267.791</v>
      </c>
      <c r="L99" s="67" t="e">
        <f>+[8]!LTCu_17/1000</f>
        <v>#NAME?</v>
      </c>
    </row>
    <row r="101" spans="2:12" ht="13.5" customHeight="1">
      <c r="B101" s="11" t="s">
        <v>248</v>
      </c>
      <c r="C101" s="11">
        <v>2009</v>
      </c>
      <c r="D101" s="11">
        <v>2010</v>
      </c>
      <c r="E101" s="11">
        <v>2011</v>
      </c>
      <c r="F101" s="11">
        <v>2012</v>
      </c>
      <c r="G101" s="39" t="s">
        <v>234</v>
      </c>
      <c r="H101" s="39" t="s">
        <v>238</v>
      </c>
      <c r="I101" s="39" t="s">
        <v>265</v>
      </c>
    </row>
    <row r="102" spans="2:12" ht="13.5" customHeight="1">
      <c r="B102" s="8" t="s">
        <v>249</v>
      </c>
      <c r="F102" s="8">
        <v>60</v>
      </c>
      <c r="G102" s="8">
        <v>61</v>
      </c>
    </row>
    <row r="103" spans="2:12" ht="13.5" customHeight="1">
      <c r="B103" s="8" t="s">
        <v>250</v>
      </c>
      <c r="F103" s="8">
        <v>104</v>
      </c>
      <c r="G103" s="8">
        <v>105</v>
      </c>
    </row>
    <row r="114" spans="2:18" ht="13.5" customHeight="1">
      <c r="O114" s="63"/>
    </row>
    <row r="118" spans="2:18" s="64" customFormat="1" ht="13.5" customHeight="1"/>
    <row r="119" spans="2:18" ht="13.5" customHeight="1">
      <c r="E119" s="267">
        <v>2011</v>
      </c>
      <c r="F119" s="267"/>
      <c r="G119" s="267"/>
      <c r="H119" s="267"/>
      <c r="I119" s="267">
        <v>2012</v>
      </c>
      <c r="J119" s="267"/>
      <c r="K119" s="267"/>
      <c r="L119" s="267"/>
      <c r="M119" s="267">
        <v>2013</v>
      </c>
      <c r="N119" s="267"/>
      <c r="O119" s="267"/>
      <c r="P119" s="267"/>
    </row>
    <row r="120" spans="2:18" ht="13.5" customHeight="1">
      <c r="B120" s="11" t="s">
        <v>165</v>
      </c>
      <c r="C120" s="41">
        <v>2009</v>
      </c>
      <c r="D120" s="140">
        <v>2010</v>
      </c>
      <c r="E120" s="39" t="s">
        <v>114</v>
      </c>
      <c r="F120" s="39" t="s">
        <v>115</v>
      </c>
      <c r="G120" s="39" t="s">
        <v>116</v>
      </c>
      <c r="H120" s="140" t="s">
        <v>117</v>
      </c>
      <c r="I120" s="39" t="s">
        <v>114</v>
      </c>
      <c r="J120" s="39" t="s">
        <v>115</v>
      </c>
      <c r="K120" s="39" t="s">
        <v>116</v>
      </c>
      <c r="L120" s="140" t="s">
        <v>117</v>
      </c>
      <c r="M120" s="39" t="s">
        <v>114</v>
      </c>
      <c r="N120" s="39" t="s">
        <v>115</v>
      </c>
      <c r="O120" s="39" t="s">
        <v>116</v>
      </c>
      <c r="P120" s="39" t="s">
        <v>117</v>
      </c>
      <c r="Q120" s="39" t="s">
        <v>114</v>
      </c>
      <c r="R120" s="39" t="s">
        <v>115</v>
      </c>
    </row>
    <row r="121" spans="2:18" ht="13.5" customHeight="1">
      <c r="B121" s="8" t="s">
        <v>162</v>
      </c>
      <c r="C121" s="9">
        <v>147783</v>
      </c>
      <c r="D121" s="9">
        <v>198451</v>
      </c>
      <c r="E121" s="9">
        <v>199339.59742699997</v>
      </c>
      <c r="F121" s="9">
        <v>165270</v>
      </c>
      <c r="G121" s="9">
        <v>66799</v>
      </c>
      <c r="H121" s="9">
        <v>63982</v>
      </c>
      <c r="I121" s="9">
        <v>72304</v>
      </c>
      <c r="J121" s="9">
        <v>68693</v>
      </c>
      <c r="K121" s="9">
        <v>66619</v>
      </c>
      <c r="L121" s="9">
        <v>49997</v>
      </c>
      <c r="M121" s="9">
        <v>38564</v>
      </c>
      <c r="N121" s="9">
        <v>31555</v>
      </c>
      <c r="O121" s="9">
        <v>27866</v>
      </c>
      <c r="P121" s="9">
        <v>18013</v>
      </c>
      <c r="Q121" s="9">
        <v>21334</v>
      </c>
      <c r="R121" s="9" t="e">
        <f>+[8]!Ind_Impaired</f>
        <v>#NAME?</v>
      </c>
    </row>
    <row r="122" spans="2:18" ht="13.5" customHeight="1">
      <c r="B122" s="8" t="s">
        <v>163</v>
      </c>
      <c r="C122" s="9">
        <v>11029.7133565523</v>
      </c>
      <c r="D122" s="9">
        <v>44239</v>
      </c>
      <c r="E122" s="9">
        <v>30579.656693361667</v>
      </c>
      <c r="F122" s="9">
        <v>24789</v>
      </c>
      <c r="G122" s="9">
        <v>19652</v>
      </c>
      <c r="H122" s="9">
        <v>24684</v>
      </c>
      <c r="I122" s="9">
        <v>24112</v>
      </c>
      <c r="J122" s="9">
        <v>21061</v>
      </c>
      <c r="K122" s="9">
        <v>17271</v>
      </c>
      <c r="L122" s="9">
        <v>20574.054725999998</v>
      </c>
      <c r="M122" s="8">
        <v>18949</v>
      </c>
      <c r="N122" s="9">
        <v>16747</v>
      </c>
      <c r="O122" s="9">
        <v>19360.249524309998</v>
      </c>
      <c r="P122" s="9">
        <v>21743.922628</v>
      </c>
      <c r="Q122" s="9">
        <v>17966.245948</v>
      </c>
      <c r="R122" s="9" t="e">
        <f>+[8]!CreditQual_14</f>
        <v>#NAME?</v>
      </c>
    </row>
    <row r="123" spans="2:18" ht="13.5" customHeight="1">
      <c r="B123" s="11" t="s">
        <v>164</v>
      </c>
      <c r="C123" s="44">
        <f>SUM(C121:C122)</f>
        <v>158812.7133565523</v>
      </c>
      <c r="D123" s="44">
        <f>SUM(D121:D122)</f>
        <v>242690</v>
      </c>
      <c r="E123" s="44">
        <f t="shared" ref="E123:P123" si="17">SUM(E121:E122)</f>
        <v>229919.25412036164</v>
      </c>
      <c r="F123" s="44">
        <f t="shared" si="17"/>
        <v>190059</v>
      </c>
      <c r="G123" s="44">
        <f t="shared" si="17"/>
        <v>86451</v>
      </c>
      <c r="H123" s="44">
        <f t="shared" si="17"/>
        <v>88666</v>
      </c>
      <c r="I123" s="44">
        <f t="shared" si="17"/>
        <v>96416</v>
      </c>
      <c r="J123" s="44">
        <f t="shared" si="17"/>
        <v>89754</v>
      </c>
      <c r="K123" s="44">
        <f t="shared" si="17"/>
        <v>83890</v>
      </c>
      <c r="L123" s="44">
        <f t="shared" si="17"/>
        <v>70571.054726000002</v>
      </c>
      <c r="M123" s="44">
        <f t="shared" si="17"/>
        <v>57513</v>
      </c>
      <c r="N123" s="44">
        <f t="shared" si="17"/>
        <v>48302</v>
      </c>
      <c r="O123" s="44">
        <f t="shared" si="17"/>
        <v>47226.249524309998</v>
      </c>
      <c r="P123" s="44">
        <f t="shared" si="17"/>
        <v>39756.922628</v>
      </c>
      <c r="Q123" s="44">
        <f>SUM(Q121:Q122)</f>
        <v>39300.245947999996</v>
      </c>
      <c r="R123" s="44" t="e">
        <f>SUM(R121:R122)</f>
        <v>#NAME?</v>
      </c>
    </row>
    <row r="124" spans="2:18" ht="13.5" customHeight="1">
      <c r="B124" s="8" t="s">
        <v>24</v>
      </c>
      <c r="C124" s="9" t="e">
        <f>#REF!</f>
        <v>#REF!</v>
      </c>
      <c r="D124" s="9" t="e">
        <f>#REF!</f>
        <v>#REF!</v>
      </c>
      <c r="E124" s="9" t="e">
        <f>#REF!</f>
        <v>#REF!</v>
      </c>
      <c r="F124" s="9" t="e">
        <f>#REF!</f>
        <v>#REF!</v>
      </c>
      <c r="G124" s="9" t="e">
        <f>#REF!</f>
        <v>#REF!</v>
      </c>
      <c r="H124" s="9" t="e">
        <f>#REF!</f>
        <v>#REF!</v>
      </c>
      <c r="I124" s="9" t="e">
        <f>#REF!</f>
        <v>#REF!</v>
      </c>
      <c r="J124" s="9" t="e">
        <f>#REF!</f>
        <v>#REF!</v>
      </c>
      <c r="K124" s="9" t="e">
        <f>#REF!</f>
        <v>#REF!</v>
      </c>
      <c r="L124" s="9" t="e">
        <f>#REF!</f>
        <v>#REF!</v>
      </c>
      <c r="M124" s="9" t="e">
        <f>#REF!</f>
        <v>#REF!</v>
      </c>
      <c r="N124" s="9" t="e">
        <f>#REF!</f>
        <v>#REF!</v>
      </c>
      <c r="O124" s="9" t="e">
        <f>#REF!</f>
        <v>#REF!</v>
      </c>
      <c r="P124" s="9" t="e">
        <f>#REF!</f>
        <v>#REF!</v>
      </c>
      <c r="Q124" s="9" t="e">
        <f>#REF!</f>
        <v>#REF!</v>
      </c>
      <c r="R124" s="9" t="e">
        <f>#REF!</f>
        <v>#REF!</v>
      </c>
    </row>
    <row r="125" spans="2:18" ht="13.5" customHeight="1">
      <c r="B125" s="11" t="s">
        <v>161</v>
      </c>
      <c r="C125" s="141" t="e">
        <f>C123/C124</f>
        <v>#REF!</v>
      </c>
      <c r="D125" s="141" t="e">
        <f>D123/D124</f>
        <v>#REF!</v>
      </c>
      <c r="E125" s="141" t="e">
        <f t="shared" ref="E125:L125" si="18">E123/E124</f>
        <v>#REF!</v>
      </c>
      <c r="F125" s="141" t="e">
        <f t="shared" si="18"/>
        <v>#REF!</v>
      </c>
      <c r="G125" s="141" t="e">
        <f t="shared" si="18"/>
        <v>#REF!</v>
      </c>
      <c r="H125" s="141" t="e">
        <f t="shared" si="18"/>
        <v>#REF!</v>
      </c>
      <c r="I125" s="141" t="e">
        <f t="shared" si="18"/>
        <v>#REF!</v>
      </c>
      <c r="J125" s="141" t="e">
        <f t="shared" si="18"/>
        <v>#REF!</v>
      </c>
      <c r="K125" s="141" t="e">
        <f t="shared" si="18"/>
        <v>#REF!</v>
      </c>
      <c r="L125" s="141" t="e">
        <f t="shared" si="18"/>
        <v>#REF!</v>
      </c>
      <c r="M125" s="142" t="e">
        <f t="shared" ref="M125:R125" si="19">M123/M124</f>
        <v>#REF!</v>
      </c>
      <c r="N125" s="142" t="e">
        <f t="shared" si="19"/>
        <v>#REF!</v>
      </c>
      <c r="O125" s="142" t="e">
        <f t="shared" si="19"/>
        <v>#REF!</v>
      </c>
      <c r="P125" s="142" t="e">
        <f t="shared" si="19"/>
        <v>#REF!</v>
      </c>
      <c r="Q125" s="142" t="e">
        <f t="shared" si="19"/>
        <v>#REF!</v>
      </c>
      <c r="R125" s="142" t="e">
        <f t="shared" si="19"/>
        <v>#NAME?</v>
      </c>
    </row>
    <row r="126" spans="2:18" ht="13.5" customHeight="1">
      <c r="B126" s="8" t="s">
        <v>266</v>
      </c>
      <c r="C126" s="32"/>
      <c r="D126" s="32"/>
      <c r="E126" s="32"/>
      <c r="F126" s="32"/>
      <c r="G126" s="32"/>
      <c r="H126" s="32"/>
      <c r="I126" s="32"/>
      <c r="J126" s="32"/>
      <c r="K126" s="32"/>
      <c r="L126" s="32"/>
      <c r="M126" s="32"/>
      <c r="N126" s="32"/>
      <c r="O126" s="32"/>
    </row>
    <row r="127" spans="2:18" ht="13.5" customHeight="1">
      <c r="L127" s="9"/>
    </row>
    <row r="129" spans="2:22" ht="13.5" customHeight="1">
      <c r="B129" s="11"/>
      <c r="C129" s="41">
        <v>2009</v>
      </c>
      <c r="D129" s="140">
        <v>2010</v>
      </c>
      <c r="E129" s="39" t="s">
        <v>114</v>
      </c>
      <c r="F129" s="39" t="s">
        <v>115</v>
      </c>
      <c r="G129" s="39" t="s">
        <v>116</v>
      </c>
      <c r="H129" s="140" t="s">
        <v>117</v>
      </c>
      <c r="I129" s="39" t="s">
        <v>114</v>
      </c>
      <c r="J129" s="39" t="s">
        <v>115</v>
      </c>
      <c r="K129" s="39" t="s">
        <v>116</v>
      </c>
      <c r="L129" s="140" t="s">
        <v>117</v>
      </c>
      <c r="M129" s="39" t="str">
        <f>+M120</f>
        <v>Q1</v>
      </c>
      <c r="N129" s="39" t="s">
        <v>115</v>
      </c>
      <c r="O129" s="39" t="s">
        <v>116</v>
      </c>
      <c r="P129" s="39" t="s">
        <v>117</v>
      </c>
      <c r="Q129" s="39" t="s">
        <v>114</v>
      </c>
      <c r="R129" s="39" t="s">
        <v>115</v>
      </c>
    </row>
    <row r="130" spans="2:22" ht="13.5" customHeight="1">
      <c r="B130" s="8" t="s">
        <v>167</v>
      </c>
      <c r="C130" s="9">
        <v>81523.865051633198</v>
      </c>
      <c r="D130" s="9">
        <v>111449.49647899999</v>
      </c>
      <c r="E130" s="9">
        <v>116504.571023</v>
      </c>
      <c r="F130" s="9">
        <v>89382.511243999994</v>
      </c>
      <c r="G130" s="9">
        <v>64455.790651000003</v>
      </c>
      <c r="H130" s="9">
        <v>59261.664843999999</v>
      </c>
      <c r="I130" s="9">
        <v>59521.471209000003</v>
      </c>
      <c r="J130" s="9">
        <v>46580.079325999999</v>
      </c>
      <c r="K130" s="9">
        <v>38795.313749000001</v>
      </c>
      <c r="L130" s="9">
        <v>33934.220321000001</v>
      </c>
      <c r="M130" s="9">
        <v>31502</v>
      </c>
      <c r="N130" s="9">
        <v>31544</v>
      </c>
      <c r="O130" s="9">
        <f>33399</f>
        <v>33399</v>
      </c>
      <c r="P130" s="9">
        <v>28757.285471000003</v>
      </c>
      <c r="Q130" s="9">
        <v>26855.711662999998</v>
      </c>
      <c r="R130" s="190"/>
    </row>
    <row r="131" spans="2:22" ht="13.5" customHeight="1">
      <c r="B131" s="8" t="s">
        <v>24</v>
      </c>
      <c r="C131" s="9" t="e">
        <f t="shared" ref="C131:Q131" si="20">C124</f>
        <v>#REF!</v>
      </c>
      <c r="D131" s="9" t="e">
        <f t="shared" si="20"/>
        <v>#REF!</v>
      </c>
      <c r="E131" s="9" t="e">
        <f t="shared" si="20"/>
        <v>#REF!</v>
      </c>
      <c r="F131" s="9" t="e">
        <f t="shared" si="20"/>
        <v>#REF!</v>
      </c>
      <c r="G131" s="9" t="e">
        <f t="shared" si="20"/>
        <v>#REF!</v>
      </c>
      <c r="H131" s="9" t="e">
        <f t="shared" si="20"/>
        <v>#REF!</v>
      </c>
      <c r="I131" s="9" t="e">
        <f t="shared" si="20"/>
        <v>#REF!</v>
      </c>
      <c r="J131" s="9" t="e">
        <f t="shared" si="20"/>
        <v>#REF!</v>
      </c>
      <c r="K131" s="9" t="e">
        <f t="shared" si="20"/>
        <v>#REF!</v>
      </c>
      <c r="L131" s="9" t="e">
        <f t="shared" si="20"/>
        <v>#REF!</v>
      </c>
      <c r="M131" s="9" t="e">
        <f t="shared" si="20"/>
        <v>#REF!</v>
      </c>
      <c r="N131" s="9" t="e">
        <f t="shared" si="20"/>
        <v>#REF!</v>
      </c>
      <c r="O131" s="9" t="e">
        <f t="shared" si="20"/>
        <v>#REF!</v>
      </c>
      <c r="P131" s="9" t="e">
        <f t="shared" si="20"/>
        <v>#REF!</v>
      </c>
      <c r="Q131" s="9" t="e">
        <f t="shared" si="20"/>
        <v>#REF!</v>
      </c>
      <c r="R131" s="190"/>
    </row>
    <row r="132" spans="2:22" ht="13.5" customHeight="1">
      <c r="B132" s="11" t="s">
        <v>168</v>
      </c>
      <c r="C132" s="141" t="e">
        <f t="shared" ref="C132:K132" si="21">C130/C131</f>
        <v>#REF!</v>
      </c>
      <c r="D132" s="141" t="e">
        <f t="shared" si="21"/>
        <v>#REF!</v>
      </c>
      <c r="E132" s="141" t="e">
        <f t="shared" si="21"/>
        <v>#REF!</v>
      </c>
      <c r="F132" s="141" t="e">
        <f t="shared" si="21"/>
        <v>#REF!</v>
      </c>
      <c r="G132" s="141" t="e">
        <f t="shared" si="21"/>
        <v>#REF!</v>
      </c>
      <c r="H132" s="141" t="e">
        <f t="shared" si="21"/>
        <v>#REF!</v>
      </c>
      <c r="I132" s="141" t="e">
        <f t="shared" si="21"/>
        <v>#REF!</v>
      </c>
      <c r="J132" s="141" t="e">
        <f t="shared" si="21"/>
        <v>#REF!</v>
      </c>
      <c r="K132" s="141" t="e">
        <f t="shared" si="21"/>
        <v>#REF!</v>
      </c>
      <c r="L132" s="141" t="e">
        <f>(L130/L131)</f>
        <v>#REF!</v>
      </c>
      <c r="M132" s="141" t="e">
        <f t="shared" ref="M132:R132" si="22">(M130/M131)</f>
        <v>#REF!</v>
      </c>
      <c r="N132" s="141" t="e">
        <f t="shared" si="22"/>
        <v>#REF!</v>
      </c>
      <c r="O132" s="141" t="e">
        <f t="shared" si="22"/>
        <v>#REF!</v>
      </c>
      <c r="P132" s="141" t="e">
        <f t="shared" si="22"/>
        <v>#REF!</v>
      </c>
      <c r="Q132" s="141" t="e">
        <f t="shared" si="22"/>
        <v>#REF!</v>
      </c>
      <c r="R132" s="141" t="e">
        <f t="shared" si="22"/>
        <v>#DIV/0!</v>
      </c>
      <c r="S132" s="42"/>
    </row>
    <row r="135" spans="2:22" ht="13.5" customHeight="1">
      <c r="C135" s="41">
        <v>2009</v>
      </c>
      <c r="D135" s="140">
        <v>2010</v>
      </c>
      <c r="E135" s="39" t="s">
        <v>114</v>
      </c>
      <c r="F135" s="39" t="s">
        <v>115</v>
      </c>
      <c r="G135" s="39" t="s">
        <v>116</v>
      </c>
      <c r="H135" s="140" t="s">
        <v>117</v>
      </c>
      <c r="I135" s="39" t="s">
        <v>114</v>
      </c>
      <c r="J135" s="39" t="s">
        <v>115</v>
      </c>
      <c r="K135" s="39" t="s">
        <v>116</v>
      </c>
      <c r="L135" s="140" t="s">
        <v>117</v>
      </c>
      <c r="M135" s="39" t="str">
        <f>+M120</f>
        <v>Q1</v>
      </c>
      <c r="N135" s="39" t="s">
        <v>115</v>
      </c>
      <c r="O135" s="39" t="s">
        <v>116</v>
      </c>
      <c r="P135" s="39" t="s">
        <v>117</v>
      </c>
      <c r="Q135" s="39" t="s">
        <v>114</v>
      </c>
      <c r="R135" s="39" t="s">
        <v>115</v>
      </c>
    </row>
    <row r="136" spans="2:22" ht="13.5" customHeight="1">
      <c r="B136" s="11" t="s">
        <v>160</v>
      </c>
      <c r="C136" s="44">
        <f t="shared" ref="C136:L136" si="23">C123</f>
        <v>158812.7133565523</v>
      </c>
      <c r="D136" s="44">
        <f t="shared" si="23"/>
        <v>242690</v>
      </c>
      <c r="E136" s="44">
        <f t="shared" si="23"/>
        <v>229919.25412036164</v>
      </c>
      <c r="F136" s="44">
        <f t="shared" si="23"/>
        <v>190059</v>
      </c>
      <c r="G136" s="44">
        <f t="shared" si="23"/>
        <v>86451</v>
      </c>
      <c r="H136" s="44">
        <f t="shared" si="23"/>
        <v>88666</v>
      </c>
      <c r="I136" s="44">
        <f t="shared" si="23"/>
        <v>96416</v>
      </c>
      <c r="J136" s="44">
        <f t="shared" si="23"/>
        <v>89754</v>
      </c>
      <c r="K136" s="44">
        <f t="shared" si="23"/>
        <v>83890</v>
      </c>
      <c r="L136" s="44">
        <f t="shared" si="23"/>
        <v>70571.054726000002</v>
      </c>
      <c r="M136" s="44">
        <f t="shared" ref="M136:R136" si="24">M123</f>
        <v>57513</v>
      </c>
      <c r="N136" s="44">
        <f t="shared" si="24"/>
        <v>48302</v>
      </c>
      <c r="O136" s="44">
        <f t="shared" si="24"/>
        <v>47226.249524309998</v>
      </c>
      <c r="P136" s="44">
        <f t="shared" si="24"/>
        <v>39756.922628</v>
      </c>
      <c r="Q136" s="44">
        <f t="shared" si="24"/>
        <v>39300.245947999996</v>
      </c>
      <c r="R136" s="44" t="e">
        <f t="shared" si="24"/>
        <v>#NAME?</v>
      </c>
    </row>
    <row r="137" spans="2:22" ht="4.5" customHeight="1">
      <c r="C137" s="9"/>
      <c r="D137" s="9"/>
      <c r="E137" s="9"/>
      <c r="F137" s="9"/>
      <c r="G137" s="9"/>
      <c r="H137" s="9"/>
      <c r="I137" s="9"/>
      <c r="J137" s="9"/>
      <c r="K137" s="9"/>
      <c r="L137" s="9"/>
      <c r="M137" s="9"/>
    </row>
    <row r="138" spans="2:22" ht="13.5" customHeight="1">
      <c r="B138" s="11" t="s">
        <v>218</v>
      </c>
      <c r="T138" s="175"/>
      <c r="U138" s="175"/>
      <c r="V138" s="175"/>
    </row>
    <row r="139" spans="2:22" ht="13.5" customHeight="1">
      <c r="B139" s="8" t="s">
        <v>219</v>
      </c>
      <c r="C139" s="9">
        <f>C130</f>
        <v>81523.865051633198</v>
      </c>
      <c r="D139" s="9">
        <f t="shared" ref="D139:J139" si="25">D130</f>
        <v>111449.49647899999</v>
      </c>
      <c r="E139" s="9">
        <f t="shared" si="25"/>
        <v>116504.571023</v>
      </c>
      <c r="F139" s="9">
        <f t="shared" si="25"/>
        <v>89382.511243999994</v>
      </c>
      <c r="G139" s="9">
        <f t="shared" si="25"/>
        <v>64455.790651000003</v>
      </c>
      <c r="H139" s="9">
        <f t="shared" si="25"/>
        <v>59261.664843999999</v>
      </c>
      <c r="I139" s="9">
        <f t="shared" si="25"/>
        <v>59521.471209000003</v>
      </c>
      <c r="J139" s="9">
        <f t="shared" si="25"/>
        <v>46580.079325999999</v>
      </c>
      <c r="K139" s="9">
        <f>K130</f>
        <v>38795.313749000001</v>
      </c>
      <c r="L139" s="192">
        <v>17674.001953999999</v>
      </c>
      <c r="M139" s="192">
        <v>15736.439423</v>
      </c>
      <c r="N139" s="192">
        <v>14731.78896</v>
      </c>
      <c r="O139" s="9">
        <v>15094.035858310001</v>
      </c>
      <c r="P139" s="9">
        <v>8047.4705249999997</v>
      </c>
      <c r="Q139" s="9">
        <v>7348.8358939999998</v>
      </c>
      <c r="R139" s="190"/>
      <c r="T139" s="9"/>
      <c r="U139" s="9"/>
      <c r="V139" s="9"/>
    </row>
    <row r="140" spans="2:22" ht="13.5" customHeight="1">
      <c r="B140" s="8" t="s">
        <v>298</v>
      </c>
      <c r="C140" s="9"/>
      <c r="D140" s="9"/>
      <c r="E140" s="9"/>
      <c r="F140" s="9"/>
      <c r="G140" s="9"/>
      <c r="H140" s="9"/>
      <c r="I140" s="9"/>
      <c r="J140" s="9"/>
      <c r="K140" s="9"/>
      <c r="L140" s="192"/>
      <c r="M140" s="192"/>
      <c r="N140" s="192"/>
      <c r="O140" s="9"/>
      <c r="P140" s="9">
        <v>12280.161994</v>
      </c>
      <c r="Q140" s="9">
        <v>7631.0278500000004</v>
      </c>
      <c r="R140" s="190"/>
      <c r="T140" s="9"/>
      <c r="U140" s="9"/>
      <c r="V140" s="9"/>
    </row>
    <row r="141" spans="2:22" ht="13.5" customHeight="1">
      <c r="B141" s="8" t="s">
        <v>220</v>
      </c>
      <c r="D141" s="9"/>
      <c r="E141" s="9"/>
      <c r="F141" s="9"/>
      <c r="G141" s="9"/>
      <c r="H141" s="9"/>
      <c r="I141" s="9"/>
      <c r="J141" s="9"/>
      <c r="K141" s="9">
        <v>11455.235414000001</v>
      </c>
      <c r="L141" s="192">
        <v>11903.109598999999</v>
      </c>
      <c r="M141" s="192">
        <v>11179.293931000002</v>
      </c>
      <c r="N141" s="192">
        <v>13820.697561000001</v>
      </c>
      <c r="O141" s="9">
        <v>14163.498244999999</v>
      </c>
      <c r="P141" s="9">
        <v>5985.3139540000002</v>
      </c>
      <c r="Q141" s="9">
        <v>7458.5904890000002</v>
      </c>
      <c r="R141" s="190"/>
      <c r="T141" s="9"/>
      <c r="U141" s="9"/>
      <c r="V141" s="9"/>
    </row>
    <row r="142" spans="2:22" ht="13.5" customHeight="1">
      <c r="B142" s="8" t="s">
        <v>226</v>
      </c>
      <c r="C142" s="9"/>
      <c r="D142" s="9"/>
      <c r="E142" s="9"/>
      <c r="F142" s="9"/>
      <c r="G142" s="9"/>
      <c r="H142" s="9"/>
      <c r="I142" s="9"/>
      <c r="J142" s="9"/>
      <c r="K142" s="9"/>
      <c r="L142" s="192">
        <v>4792.8562600000005</v>
      </c>
      <c r="M142" s="192">
        <v>5475.999433</v>
      </c>
      <c r="N142" s="192">
        <v>2991.1448500000001</v>
      </c>
      <c r="O142" s="9">
        <v>2998.8754039999999</v>
      </c>
      <c r="P142" s="9">
        <v>2297.6531070000001</v>
      </c>
      <c r="Q142" s="9">
        <v>4266.2999770000006</v>
      </c>
      <c r="R142" s="190"/>
      <c r="T142" s="9"/>
      <c r="U142" s="9"/>
      <c r="V142" s="9"/>
    </row>
    <row r="143" spans="2:22" ht="13.5" customHeight="1">
      <c r="B143" s="8" t="s">
        <v>172</v>
      </c>
      <c r="C143" s="9"/>
      <c r="D143" s="9"/>
      <c r="E143" s="9"/>
      <c r="F143" s="9"/>
      <c r="G143" s="9"/>
      <c r="H143" s="9"/>
      <c r="I143" s="9"/>
      <c r="J143" s="9"/>
      <c r="K143" s="9">
        <v>10974.649598</v>
      </c>
      <c r="L143" s="192">
        <v>23842.260987000001</v>
      </c>
      <c r="M143" s="192">
        <v>10026.821169999999</v>
      </c>
      <c r="N143" s="192">
        <v>8485.3502019999996</v>
      </c>
      <c r="O143" s="9">
        <v>988.62668299999996</v>
      </c>
      <c r="P143" s="9">
        <v>146.685891</v>
      </c>
      <c r="Q143" s="9">
        <v>150.95745299999999</v>
      </c>
      <c r="R143" s="190"/>
      <c r="T143" s="9"/>
      <c r="U143" s="9"/>
      <c r="V143" s="9"/>
    </row>
    <row r="144" spans="2:22" ht="13.5" customHeight="1">
      <c r="B144" s="8" t="s">
        <v>171</v>
      </c>
      <c r="C144" s="9"/>
      <c r="D144" s="9"/>
      <c r="E144" s="9"/>
      <c r="F144" s="9"/>
      <c r="G144" s="9"/>
      <c r="H144" s="9"/>
      <c r="I144" s="9"/>
      <c r="J144" s="9"/>
      <c r="K144" s="9">
        <v>4643.1186710000002</v>
      </c>
      <c r="L144" s="192">
        <v>5961.0330089999998</v>
      </c>
      <c r="M144" s="192">
        <v>9412.0259059999917</v>
      </c>
      <c r="N144" s="192">
        <v>2242.2660519999999</v>
      </c>
      <c r="O144" s="9">
        <v>7574.9309380000004</v>
      </c>
      <c r="P144" s="9">
        <v>1710.382883</v>
      </c>
      <c r="Q144" s="9">
        <v>1342.5658410000001</v>
      </c>
      <c r="R144" s="190"/>
      <c r="T144" s="9"/>
      <c r="U144" s="9"/>
      <c r="V144" s="9"/>
    </row>
    <row r="145" spans="2:22" ht="13.5" customHeight="1">
      <c r="B145" s="8" t="s">
        <v>188</v>
      </c>
      <c r="C145" s="9"/>
      <c r="D145" s="9"/>
      <c r="E145" s="9"/>
      <c r="F145" s="9"/>
      <c r="G145" s="9"/>
      <c r="H145" s="9"/>
      <c r="I145" s="9"/>
      <c r="J145" s="9"/>
      <c r="K145" s="9">
        <v>1186.2668200000001</v>
      </c>
      <c r="L145" s="192">
        <v>4860.337329</v>
      </c>
      <c r="M145" s="192">
        <v>4143.4544580000002</v>
      </c>
      <c r="N145" s="192">
        <v>895.91383599999995</v>
      </c>
      <c r="O145" s="9">
        <v>682.79699699999992</v>
      </c>
      <c r="P145" s="9">
        <v>521.68386299999997</v>
      </c>
      <c r="Q145" s="9">
        <v>2112.7957660000002</v>
      </c>
      <c r="R145" s="190"/>
      <c r="T145" s="9"/>
      <c r="U145" s="9"/>
      <c r="V145" s="9"/>
    </row>
    <row r="146" spans="2:22" ht="13.5" customHeight="1">
      <c r="B146" s="8" t="s">
        <v>224</v>
      </c>
      <c r="C146" s="9"/>
      <c r="D146" s="9"/>
      <c r="E146" s="9"/>
      <c r="F146" s="9"/>
      <c r="G146" s="9"/>
      <c r="H146" s="9"/>
      <c r="I146" s="9"/>
      <c r="J146" s="9"/>
      <c r="K146" s="9"/>
      <c r="L146" s="192">
        <v>4792.8562600000005</v>
      </c>
      <c r="M146" s="192">
        <v>0</v>
      </c>
      <c r="N146" s="192">
        <v>570.47384999999997</v>
      </c>
      <c r="O146" s="9">
        <v>0</v>
      </c>
      <c r="P146" s="9">
        <v>1570.273614</v>
      </c>
      <c r="Q146" s="9">
        <v>3350.9218919999998</v>
      </c>
      <c r="R146" s="190"/>
      <c r="T146" s="9"/>
      <c r="U146" s="9"/>
      <c r="V146" s="9"/>
    </row>
    <row r="147" spans="2:22" ht="13.5" customHeight="1">
      <c r="B147" s="8" t="s">
        <v>223</v>
      </c>
      <c r="C147" s="9"/>
      <c r="D147" s="9"/>
      <c r="E147" s="9"/>
      <c r="F147" s="9"/>
      <c r="G147" s="9"/>
      <c r="H147" s="9"/>
      <c r="I147" s="9"/>
      <c r="J147" s="9"/>
      <c r="K147" s="9"/>
      <c r="L147" s="192">
        <v>1537.4555880000078</v>
      </c>
      <c r="M147" s="192">
        <v>1538.7567840000002</v>
      </c>
      <c r="N147" s="192">
        <v>4563.9942070000061</v>
      </c>
      <c r="O147" s="9">
        <v>5723</v>
      </c>
      <c r="P147" s="9">
        <v>7197.8104498740104</v>
      </c>
      <c r="Q147" s="9">
        <v>5637.1026978143045</v>
      </c>
      <c r="R147" s="190"/>
      <c r="T147" s="9"/>
      <c r="U147" s="9"/>
      <c r="V147" s="9"/>
    </row>
    <row r="148" spans="2:22" ht="13.5" customHeight="1">
      <c r="B148" s="11" t="s">
        <v>27</v>
      </c>
      <c r="C148" s="44">
        <f t="shared" ref="C148:K148" si="26">SUM(C139:C145)</f>
        <v>81523.865051633198</v>
      </c>
      <c r="D148" s="44">
        <f t="shared" si="26"/>
        <v>111449.49647899999</v>
      </c>
      <c r="E148" s="44">
        <f t="shared" si="26"/>
        <v>116504.571023</v>
      </c>
      <c r="F148" s="44">
        <f t="shared" si="26"/>
        <v>89382.511243999994</v>
      </c>
      <c r="G148" s="44">
        <f t="shared" si="26"/>
        <v>64455.790651000003</v>
      </c>
      <c r="H148" s="44">
        <f t="shared" si="26"/>
        <v>59261.664843999999</v>
      </c>
      <c r="I148" s="44">
        <f t="shared" si="26"/>
        <v>59521.471209000003</v>
      </c>
      <c r="J148" s="44">
        <f t="shared" si="26"/>
        <v>46580.079325999999</v>
      </c>
      <c r="K148" s="44">
        <f t="shared" si="26"/>
        <v>67054.584252000015</v>
      </c>
      <c r="L148" s="44">
        <f t="shared" ref="L148:Q148" si="27">SUM(L139:L147)</f>
        <v>75363.910986000003</v>
      </c>
      <c r="M148" s="44">
        <f t="shared" si="27"/>
        <v>57512.791104999989</v>
      </c>
      <c r="N148" s="44">
        <f t="shared" si="27"/>
        <v>48301.629518000002</v>
      </c>
      <c r="O148" s="44">
        <f t="shared" si="27"/>
        <v>47225.764125309994</v>
      </c>
      <c r="P148" s="44">
        <f t="shared" si="27"/>
        <v>39757.436280874012</v>
      </c>
      <c r="Q148" s="44">
        <f t="shared" si="27"/>
        <v>39299.097859814305</v>
      </c>
    </row>
    <row r="149" spans="2:22" ht="13.5" customHeight="1">
      <c r="B149" s="8" t="s">
        <v>106</v>
      </c>
      <c r="C149" s="9">
        <f t="shared" ref="C149:Q149" si="28">C136-C148</f>
        <v>77288.848304919098</v>
      </c>
      <c r="D149" s="9">
        <f t="shared" si="28"/>
        <v>131240.50352100001</v>
      </c>
      <c r="E149" s="9">
        <f t="shared" si="28"/>
        <v>113414.68309736165</v>
      </c>
      <c r="F149" s="9">
        <f t="shared" si="28"/>
        <v>100676.48875600001</v>
      </c>
      <c r="G149" s="9">
        <f t="shared" si="28"/>
        <v>21995.209348999997</v>
      </c>
      <c r="H149" s="9">
        <f t="shared" si="28"/>
        <v>29404.335156000001</v>
      </c>
      <c r="I149" s="9">
        <f t="shared" si="28"/>
        <v>36894.528790999997</v>
      </c>
      <c r="J149" s="9">
        <f t="shared" si="28"/>
        <v>43173.920674000001</v>
      </c>
      <c r="K149" s="9">
        <f t="shared" si="28"/>
        <v>16835.415747999985</v>
      </c>
      <c r="L149" s="9">
        <f t="shared" si="28"/>
        <v>-4792.8562600000005</v>
      </c>
      <c r="M149" s="9">
        <f t="shared" si="28"/>
        <v>0.20889500001067063</v>
      </c>
      <c r="N149" s="9">
        <f t="shared" si="28"/>
        <v>0.37048199999844655</v>
      </c>
      <c r="O149" s="9">
        <f t="shared" si="28"/>
        <v>0.48539900000469061</v>
      </c>
      <c r="P149" s="9">
        <f t="shared" si="28"/>
        <v>-0.51365287401131354</v>
      </c>
      <c r="Q149" s="9">
        <f t="shared" si="28"/>
        <v>1.1480881856914493</v>
      </c>
    </row>
    <row r="152" spans="2:22" ht="13.5" customHeight="1">
      <c r="B152" s="8" t="s">
        <v>160</v>
      </c>
      <c r="C152" s="40" t="e">
        <f t="shared" ref="C152:M152" si="29">C125</f>
        <v>#REF!</v>
      </c>
      <c r="D152" s="40" t="e">
        <f t="shared" si="29"/>
        <v>#REF!</v>
      </c>
      <c r="E152" s="40" t="e">
        <f t="shared" si="29"/>
        <v>#REF!</v>
      </c>
      <c r="F152" s="40" t="e">
        <f t="shared" si="29"/>
        <v>#REF!</v>
      </c>
      <c r="G152" s="40" t="e">
        <f t="shared" si="29"/>
        <v>#REF!</v>
      </c>
      <c r="H152" s="40" t="e">
        <f t="shared" si="29"/>
        <v>#REF!</v>
      </c>
      <c r="I152" s="40" t="e">
        <f t="shared" si="29"/>
        <v>#REF!</v>
      </c>
      <c r="J152" s="40" t="e">
        <f t="shared" si="29"/>
        <v>#REF!</v>
      </c>
      <c r="K152" s="40" t="e">
        <f t="shared" si="29"/>
        <v>#REF!</v>
      </c>
      <c r="L152" s="40" t="e">
        <f t="shared" si="29"/>
        <v>#REF!</v>
      </c>
      <c r="M152" s="40" t="e">
        <f t="shared" si="29"/>
        <v>#REF!</v>
      </c>
      <c r="N152" s="40" t="e">
        <f>N125</f>
        <v>#REF!</v>
      </c>
      <c r="O152" s="40" t="e">
        <f>O125</f>
        <v>#REF!</v>
      </c>
      <c r="P152" s="40" t="e">
        <f>P125</f>
        <v>#REF!</v>
      </c>
      <c r="Q152" s="40" t="e">
        <f>Q125</f>
        <v>#REF!</v>
      </c>
    </row>
    <row r="153" spans="2:22" ht="13.5" customHeight="1">
      <c r="B153" s="11" t="s">
        <v>166</v>
      </c>
    </row>
    <row r="154" spans="2:22" ht="13.5" customHeight="1">
      <c r="B154" s="8" t="s">
        <v>219</v>
      </c>
      <c r="C154" s="40" t="e">
        <f t="shared" ref="C154:K154" si="30">C139/C$124</f>
        <v>#REF!</v>
      </c>
      <c r="D154" s="40" t="e">
        <f t="shared" si="30"/>
        <v>#REF!</v>
      </c>
      <c r="E154" s="40" t="e">
        <f t="shared" si="30"/>
        <v>#REF!</v>
      </c>
      <c r="F154" s="40" t="e">
        <f t="shared" si="30"/>
        <v>#REF!</v>
      </c>
      <c r="G154" s="40" t="e">
        <f t="shared" si="30"/>
        <v>#REF!</v>
      </c>
      <c r="H154" s="40" t="e">
        <f t="shared" si="30"/>
        <v>#REF!</v>
      </c>
      <c r="I154" s="40" t="e">
        <f t="shared" si="30"/>
        <v>#REF!</v>
      </c>
      <c r="J154" s="40" t="e">
        <f t="shared" si="30"/>
        <v>#REF!</v>
      </c>
      <c r="K154" s="40" t="e">
        <f t="shared" si="30"/>
        <v>#REF!</v>
      </c>
      <c r="L154" s="143" t="e">
        <f>(L139/L$124)*100</f>
        <v>#REF!</v>
      </c>
      <c r="M154" s="143" t="e">
        <f>(M139/M$124)*100</f>
        <v>#REF!</v>
      </c>
      <c r="N154" s="143" t="e">
        <f>(N139/N$124)*100</f>
        <v>#REF!</v>
      </c>
      <c r="O154" s="8">
        <v>2.6</v>
      </c>
      <c r="P154" s="143" t="e">
        <f>(P139/P$124)*100</f>
        <v>#REF!</v>
      </c>
      <c r="Q154" s="143" t="e">
        <f t="shared" ref="Q154:Q161" si="31">(Q139/Q$124)*100</f>
        <v>#REF!</v>
      </c>
    </row>
    <row r="155" spans="2:22" ht="13.5" customHeight="1">
      <c r="B155" s="8" t="s">
        <v>298</v>
      </c>
      <c r="C155" s="40"/>
      <c r="D155" s="40"/>
      <c r="E155" s="40"/>
      <c r="F155" s="40"/>
      <c r="G155" s="40"/>
      <c r="H155" s="40"/>
      <c r="I155" s="40"/>
      <c r="J155" s="40"/>
      <c r="K155" s="40"/>
      <c r="L155" s="143"/>
      <c r="M155" s="143"/>
      <c r="N155" s="143"/>
      <c r="P155" s="143" t="e">
        <f>(P140/P$124)*100</f>
        <v>#REF!</v>
      </c>
      <c r="Q155" s="143" t="e">
        <f t="shared" si="31"/>
        <v>#REF!</v>
      </c>
    </row>
    <row r="156" spans="2:22" ht="13.5" customHeight="1">
      <c r="B156" s="8" t="s">
        <v>220</v>
      </c>
      <c r="C156" s="40" t="e">
        <f>D140/C$124</f>
        <v>#REF!</v>
      </c>
      <c r="D156" s="40" t="e">
        <f t="shared" ref="D156:K156" si="32">D141/D$124</f>
        <v>#REF!</v>
      </c>
      <c r="E156" s="40" t="e">
        <f t="shared" si="32"/>
        <v>#REF!</v>
      </c>
      <c r="F156" s="40" t="e">
        <f t="shared" si="32"/>
        <v>#REF!</v>
      </c>
      <c r="G156" s="40" t="e">
        <f t="shared" si="32"/>
        <v>#REF!</v>
      </c>
      <c r="H156" s="40" t="e">
        <f t="shared" si="32"/>
        <v>#REF!</v>
      </c>
      <c r="I156" s="40" t="e">
        <f t="shared" si="32"/>
        <v>#REF!</v>
      </c>
      <c r="J156" s="40" t="e">
        <f t="shared" si="32"/>
        <v>#REF!</v>
      </c>
      <c r="K156" s="40" t="e">
        <f t="shared" si="32"/>
        <v>#REF!</v>
      </c>
      <c r="L156" s="143" t="e">
        <f>(L141/L$124)*100</f>
        <v>#REF!</v>
      </c>
      <c r="M156" s="143" t="e">
        <f>(M141/M$124)*100</f>
        <v>#REF!</v>
      </c>
      <c r="N156" s="143" t="e">
        <f>(N141/N$124)*100</f>
        <v>#REF!</v>
      </c>
      <c r="O156" s="8">
        <v>2.5</v>
      </c>
      <c r="P156" s="143" t="e">
        <f>(P141/P$124)*100</f>
        <v>#REF!</v>
      </c>
      <c r="Q156" s="143" t="e">
        <f t="shared" si="31"/>
        <v>#REF!</v>
      </c>
    </row>
    <row r="157" spans="2:22" ht="13.5" customHeight="1">
      <c r="B157" s="8" t="s">
        <v>228</v>
      </c>
      <c r="C157" s="40"/>
      <c r="D157" s="40"/>
      <c r="E157" s="40"/>
      <c r="F157" s="40"/>
      <c r="G157" s="40"/>
      <c r="H157" s="40"/>
      <c r="I157" s="40"/>
      <c r="J157" s="40"/>
      <c r="K157" s="40"/>
      <c r="L157" s="143" t="e">
        <f>((L142/L$124)*100)</f>
        <v>#REF!</v>
      </c>
      <c r="M157" s="143" t="e">
        <f>((M142/M$124)*100)-0.1</f>
        <v>#REF!</v>
      </c>
      <c r="N157" s="143" t="e">
        <f>((N142/N$124)*100)</f>
        <v>#REF!</v>
      </c>
      <c r="O157" s="8">
        <v>0.5</v>
      </c>
      <c r="P157" s="143" t="e">
        <f>((P142/P$124)*100)</f>
        <v>#REF!</v>
      </c>
      <c r="Q157" s="143" t="e">
        <f t="shared" si="31"/>
        <v>#REF!</v>
      </c>
    </row>
    <row r="158" spans="2:22" ht="13.5" customHeight="1">
      <c r="B158" s="8" t="s">
        <v>268</v>
      </c>
      <c r="C158" s="40"/>
      <c r="D158" s="40"/>
      <c r="E158" s="40"/>
      <c r="F158" s="40"/>
      <c r="G158" s="40"/>
      <c r="H158" s="40"/>
      <c r="I158" s="40"/>
      <c r="J158" s="40"/>
      <c r="K158" s="40"/>
      <c r="L158" s="143"/>
      <c r="M158" s="143"/>
      <c r="N158" s="143"/>
      <c r="O158" s="8">
        <v>0.2</v>
      </c>
      <c r="P158" s="143" t="e">
        <f>((P143/P$124)*100)</f>
        <v>#REF!</v>
      </c>
      <c r="Q158" s="143" t="e">
        <f t="shared" si="31"/>
        <v>#REF!</v>
      </c>
    </row>
    <row r="159" spans="2:22" ht="13.5" customHeight="1">
      <c r="B159" s="8" t="s">
        <v>230</v>
      </c>
      <c r="C159" s="40" t="e">
        <f t="shared" ref="C159:K159" si="33">C143/C$124</f>
        <v>#REF!</v>
      </c>
      <c r="D159" s="40" t="e">
        <f t="shared" si="33"/>
        <v>#REF!</v>
      </c>
      <c r="E159" s="40" t="e">
        <f t="shared" si="33"/>
        <v>#REF!</v>
      </c>
      <c r="F159" s="40" t="e">
        <f t="shared" si="33"/>
        <v>#REF!</v>
      </c>
      <c r="G159" s="40" t="e">
        <f t="shared" si="33"/>
        <v>#REF!</v>
      </c>
      <c r="H159" s="40" t="e">
        <f t="shared" si="33"/>
        <v>#REF!</v>
      </c>
      <c r="I159" s="40" t="e">
        <f t="shared" si="33"/>
        <v>#REF!</v>
      </c>
      <c r="J159" s="40" t="e">
        <f t="shared" si="33"/>
        <v>#REF!</v>
      </c>
      <c r="K159" s="40" t="e">
        <f t="shared" si="33"/>
        <v>#REF!</v>
      </c>
      <c r="L159" s="143" t="e">
        <f t="shared" ref="L159:M161" si="34">(L143/L$124)*100</f>
        <v>#REF!</v>
      </c>
      <c r="M159" s="143" t="e">
        <f t="shared" si="34"/>
        <v>#REF!</v>
      </c>
      <c r="N159" s="143" t="e">
        <f>(N143/N$124)*100</f>
        <v>#REF!</v>
      </c>
      <c r="O159" s="8">
        <v>1.3</v>
      </c>
      <c r="P159" s="143" t="e">
        <f>(P144/P$124)*100</f>
        <v>#REF!</v>
      </c>
      <c r="Q159" s="143" t="e">
        <f t="shared" si="31"/>
        <v>#REF!</v>
      </c>
    </row>
    <row r="160" spans="2:22" ht="13.5" customHeight="1">
      <c r="B160" s="8" t="s">
        <v>229</v>
      </c>
      <c r="C160" s="40" t="e">
        <f t="shared" ref="C160:K160" si="35">C144/C$124</f>
        <v>#REF!</v>
      </c>
      <c r="D160" s="40" t="e">
        <f t="shared" si="35"/>
        <v>#REF!</v>
      </c>
      <c r="E160" s="40" t="e">
        <f t="shared" si="35"/>
        <v>#REF!</v>
      </c>
      <c r="F160" s="40" t="e">
        <f t="shared" si="35"/>
        <v>#REF!</v>
      </c>
      <c r="G160" s="40" t="e">
        <f t="shared" si="35"/>
        <v>#REF!</v>
      </c>
      <c r="H160" s="40" t="e">
        <f t="shared" si="35"/>
        <v>#REF!</v>
      </c>
      <c r="I160" s="40" t="e">
        <f t="shared" si="35"/>
        <v>#REF!</v>
      </c>
      <c r="J160" s="40" t="e">
        <f t="shared" si="35"/>
        <v>#REF!</v>
      </c>
      <c r="K160" s="40" t="e">
        <f t="shared" si="35"/>
        <v>#REF!</v>
      </c>
      <c r="L160" s="143" t="e">
        <f t="shared" si="34"/>
        <v>#REF!</v>
      </c>
      <c r="M160" s="143" t="e">
        <f t="shared" si="34"/>
        <v>#REF!</v>
      </c>
      <c r="N160" s="143" t="e">
        <f>(N144/N$124)*100</f>
        <v>#REF!</v>
      </c>
      <c r="O160" s="8">
        <v>0.1</v>
      </c>
      <c r="P160" s="143" t="e">
        <f>(P145/P$124)*100</f>
        <v>#REF!</v>
      </c>
      <c r="Q160" s="143" t="e">
        <f t="shared" si="31"/>
        <v>#REF!</v>
      </c>
    </row>
    <row r="161" spans="1:19" ht="13.5" customHeight="1">
      <c r="B161" s="8" t="s">
        <v>231</v>
      </c>
      <c r="C161" s="40" t="e">
        <f t="shared" ref="C161:K161" si="36">C145/C$124</f>
        <v>#REF!</v>
      </c>
      <c r="D161" s="40" t="e">
        <f t="shared" si="36"/>
        <v>#REF!</v>
      </c>
      <c r="E161" s="40" t="e">
        <f t="shared" si="36"/>
        <v>#REF!</v>
      </c>
      <c r="F161" s="40" t="e">
        <f t="shared" si="36"/>
        <v>#REF!</v>
      </c>
      <c r="G161" s="40" t="e">
        <f t="shared" si="36"/>
        <v>#REF!</v>
      </c>
      <c r="H161" s="40" t="e">
        <f t="shared" si="36"/>
        <v>#REF!</v>
      </c>
      <c r="I161" s="40" t="e">
        <f t="shared" si="36"/>
        <v>#REF!</v>
      </c>
      <c r="J161" s="40" t="e">
        <f t="shared" si="36"/>
        <v>#REF!</v>
      </c>
      <c r="K161" s="40" t="e">
        <f t="shared" si="36"/>
        <v>#REF!</v>
      </c>
      <c r="L161" s="143" t="e">
        <f t="shared" si="34"/>
        <v>#REF!</v>
      </c>
      <c r="M161" s="143" t="e">
        <f t="shared" si="34"/>
        <v>#REF!</v>
      </c>
      <c r="N161" s="143" t="e">
        <f>(N145/N$124)*100</f>
        <v>#REF!</v>
      </c>
      <c r="O161" s="42">
        <v>0</v>
      </c>
      <c r="P161" s="143" t="e">
        <f>(P146/P$124)*100</f>
        <v>#REF!</v>
      </c>
      <c r="Q161" s="143" t="e">
        <f t="shared" si="31"/>
        <v>#REF!</v>
      </c>
    </row>
    <row r="162" spans="1:19" ht="13.5" customHeight="1">
      <c r="B162" s="8" t="s">
        <v>225</v>
      </c>
      <c r="C162" s="40"/>
      <c r="D162" s="40"/>
      <c r="E162" s="40"/>
      <c r="F162" s="40"/>
      <c r="G162" s="40"/>
      <c r="H162" s="40"/>
      <c r="I162" s="40"/>
      <c r="J162" s="40"/>
      <c r="K162" s="40"/>
      <c r="L162" s="143"/>
      <c r="M162" s="143"/>
      <c r="N162" s="143"/>
      <c r="P162" s="143"/>
    </row>
    <row r="163" spans="1:19" ht="13.5" customHeight="1">
      <c r="B163" s="8" t="s">
        <v>223</v>
      </c>
      <c r="C163" s="40" t="e">
        <f t="shared" ref="C163:K163" si="37">C146/C$124</f>
        <v>#REF!</v>
      </c>
      <c r="D163" s="40" t="e">
        <f t="shared" si="37"/>
        <v>#REF!</v>
      </c>
      <c r="E163" s="40" t="e">
        <f t="shared" si="37"/>
        <v>#REF!</v>
      </c>
      <c r="F163" s="40" t="e">
        <f t="shared" si="37"/>
        <v>#REF!</v>
      </c>
      <c r="G163" s="40" t="e">
        <f t="shared" si="37"/>
        <v>#REF!</v>
      </c>
      <c r="H163" s="40" t="e">
        <f t="shared" si="37"/>
        <v>#REF!</v>
      </c>
      <c r="I163" s="40" t="e">
        <f t="shared" si="37"/>
        <v>#REF!</v>
      </c>
      <c r="J163" s="40" t="e">
        <f t="shared" si="37"/>
        <v>#REF!</v>
      </c>
      <c r="K163" s="40" t="e">
        <f t="shared" si="37"/>
        <v>#REF!</v>
      </c>
      <c r="L163" s="143" t="e">
        <f>(L147/L$124)*100</f>
        <v>#REF!</v>
      </c>
      <c r="M163" s="143" t="e">
        <f>(M147/M$124)*100</f>
        <v>#REF!</v>
      </c>
      <c r="N163" s="143" t="e">
        <f>(N147/N$124)*100</f>
        <v>#REF!</v>
      </c>
      <c r="O163" s="42">
        <v>1</v>
      </c>
      <c r="P163" s="143" t="e">
        <f>(P147/P$124)*100</f>
        <v>#REF!</v>
      </c>
      <c r="Q163" s="143" t="e">
        <f>(Q147/Q$124)*100</f>
        <v>#REF!</v>
      </c>
    </row>
    <row r="164" spans="1:19" ht="13.5" customHeight="1">
      <c r="C164" s="40"/>
      <c r="D164" s="40"/>
      <c r="E164" s="40"/>
      <c r="F164" s="40"/>
      <c r="G164" s="40"/>
      <c r="H164" s="40"/>
      <c r="I164" s="40"/>
      <c r="J164" s="40"/>
      <c r="K164" s="40"/>
      <c r="L164" s="143"/>
      <c r="M164" s="143"/>
    </row>
    <row r="165" spans="1:19" ht="13.5" customHeight="1">
      <c r="B165" s="11" t="s">
        <v>27</v>
      </c>
      <c r="C165" s="68" t="e">
        <f>SUM(C154:C163)</f>
        <v>#REF!</v>
      </c>
      <c r="D165" s="68" t="e">
        <f t="shared" ref="D165:K165" si="38">SUM(D154:D163)</f>
        <v>#REF!</v>
      </c>
      <c r="E165" s="68" t="e">
        <f t="shared" si="38"/>
        <v>#REF!</v>
      </c>
      <c r="F165" s="68" t="e">
        <f t="shared" si="38"/>
        <v>#REF!</v>
      </c>
      <c r="G165" s="68" t="e">
        <f t="shared" si="38"/>
        <v>#REF!</v>
      </c>
      <c r="H165" s="68" t="e">
        <f t="shared" si="38"/>
        <v>#REF!</v>
      </c>
      <c r="I165" s="68" t="e">
        <f t="shared" si="38"/>
        <v>#REF!</v>
      </c>
      <c r="J165" s="68" t="e">
        <f t="shared" si="38"/>
        <v>#REF!</v>
      </c>
      <c r="K165" s="68" t="e">
        <f t="shared" si="38"/>
        <v>#REF!</v>
      </c>
      <c r="L165" s="144" t="e">
        <f t="shared" ref="L165:Q165" si="39">SUM(L154:L164)</f>
        <v>#REF!</v>
      </c>
      <c r="M165" s="144" t="e">
        <f t="shared" si="39"/>
        <v>#REF!</v>
      </c>
      <c r="N165" s="144" t="e">
        <f t="shared" si="39"/>
        <v>#REF!</v>
      </c>
      <c r="O165" s="144">
        <f t="shared" si="39"/>
        <v>8.1999999999999993</v>
      </c>
      <c r="P165" s="144" t="e">
        <f t="shared" si="39"/>
        <v>#REF!</v>
      </c>
      <c r="Q165" s="144" t="e">
        <f t="shared" si="39"/>
        <v>#REF!</v>
      </c>
    </row>
    <row r="166" spans="1:19" ht="13.5" customHeight="1">
      <c r="B166" s="8" t="s">
        <v>169</v>
      </c>
      <c r="C166" s="40" t="e">
        <f>C152-C165</f>
        <v>#REF!</v>
      </c>
      <c r="D166" s="40" t="e">
        <f t="shared" ref="D166:K166" si="40">D152-D165</f>
        <v>#REF!</v>
      </c>
      <c r="E166" s="40" t="e">
        <f t="shared" si="40"/>
        <v>#REF!</v>
      </c>
      <c r="F166" s="40" t="e">
        <f t="shared" si="40"/>
        <v>#REF!</v>
      </c>
      <c r="G166" s="40" t="e">
        <f t="shared" si="40"/>
        <v>#REF!</v>
      </c>
      <c r="H166" s="40" t="e">
        <f t="shared" si="40"/>
        <v>#REF!</v>
      </c>
      <c r="I166" s="40" t="e">
        <f t="shared" si="40"/>
        <v>#REF!</v>
      </c>
      <c r="J166" s="40" t="e">
        <f t="shared" si="40"/>
        <v>#REF!</v>
      </c>
      <c r="K166" s="40" t="e">
        <f t="shared" si="40"/>
        <v>#REF!</v>
      </c>
      <c r="L166" s="40" t="e">
        <f t="shared" ref="L166:Q166" si="41">L152-L165/100</f>
        <v>#REF!</v>
      </c>
      <c r="M166" s="40" t="e">
        <f t="shared" si="41"/>
        <v>#REF!</v>
      </c>
      <c r="N166" s="40" t="e">
        <f t="shared" si="41"/>
        <v>#REF!</v>
      </c>
      <c r="O166" s="40" t="e">
        <f t="shared" si="41"/>
        <v>#REF!</v>
      </c>
      <c r="P166" s="40" t="e">
        <f t="shared" si="41"/>
        <v>#REF!</v>
      </c>
      <c r="Q166" s="40" t="e">
        <f t="shared" si="41"/>
        <v>#REF!</v>
      </c>
    </row>
    <row r="168" spans="1:19" ht="13.5" customHeight="1">
      <c r="C168" s="11">
        <v>2009</v>
      </c>
      <c r="D168" s="39">
        <v>2010</v>
      </c>
      <c r="E168" s="39" t="s">
        <v>114</v>
      </c>
      <c r="F168" s="39" t="s">
        <v>115</v>
      </c>
      <c r="G168" s="39" t="s">
        <v>116</v>
      </c>
      <c r="H168" s="39">
        <v>2011</v>
      </c>
      <c r="I168" s="39" t="s">
        <v>114</v>
      </c>
      <c r="J168" s="39" t="s">
        <v>115</v>
      </c>
      <c r="K168" s="39" t="s">
        <v>116</v>
      </c>
      <c r="L168" s="39">
        <v>2012</v>
      </c>
      <c r="M168" s="39" t="s">
        <v>114</v>
      </c>
      <c r="N168" s="39" t="s">
        <v>115</v>
      </c>
      <c r="O168" s="39" t="s">
        <v>116</v>
      </c>
      <c r="P168" s="39" t="s">
        <v>117</v>
      </c>
      <c r="Q168" s="39" t="s">
        <v>114</v>
      </c>
      <c r="R168" s="39" t="s">
        <v>115</v>
      </c>
    </row>
    <row r="169" spans="1:19" ht="13.5" customHeight="1">
      <c r="B169" s="8" t="s">
        <v>227</v>
      </c>
      <c r="C169" s="143"/>
      <c r="D169" s="145" t="e">
        <f t="shared" ref="D169:M169" si="42">D132*100</f>
        <v>#REF!</v>
      </c>
      <c r="E169" s="145" t="e">
        <f t="shared" si="42"/>
        <v>#REF!</v>
      </c>
      <c r="F169" s="145" t="e">
        <f t="shared" si="42"/>
        <v>#REF!</v>
      </c>
      <c r="G169" s="145" t="e">
        <f t="shared" si="42"/>
        <v>#REF!</v>
      </c>
      <c r="H169" s="145" t="e">
        <f t="shared" si="42"/>
        <v>#REF!</v>
      </c>
      <c r="I169" s="145" t="e">
        <f t="shared" si="42"/>
        <v>#REF!</v>
      </c>
      <c r="J169" s="145" t="e">
        <f t="shared" si="42"/>
        <v>#REF!</v>
      </c>
      <c r="K169" s="145" t="e">
        <f t="shared" si="42"/>
        <v>#REF!</v>
      </c>
      <c r="L169" s="145" t="e">
        <f t="shared" si="42"/>
        <v>#REF!</v>
      </c>
      <c r="M169" s="145" t="e">
        <f t="shared" si="42"/>
        <v>#REF!</v>
      </c>
      <c r="N169" s="145" t="e">
        <f>(N132*100)</f>
        <v>#REF!</v>
      </c>
      <c r="O169" s="145" t="e">
        <f>(O132*100)</f>
        <v>#REF!</v>
      </c>
      <c r="P169" s="145" t="e">
        <f>(P132*100)</f>
        <v>#REF!</v>
      </c>
      <c r="Q169" s="145" t="e">
        <f>(Q132*100)</f>
        <v>#REF!</v>
      </c>
    </row>
    <row r="170" spans="1:19" ht="13.5" customHeight="1">
      <c r="B170" s="8" t="s">
        <v>252</v>
      </c>
      <c r="D170" s="143" t="e">
        <f>D171-D169</f>
        <v>#REF!</v>
      </c>
      <c r="E170" s="143" t="e">
        <f t="shared" ref="E170:M170" si="43">E171-E169</f>
        <v>#REF!</v>
      </c>
      <c r="F170" s="143" t="e">
        <f t="shared" si="43"/>
        <v>#REF!</v>
      </c>
      <c r="G170" s="143" t="e">
        <f t="shared" si="43"/>
        <v>#REF!</v>
      </c>
      <c r="H170" s="143" t="e">
        <f t="shared" si="43"/>
        <v>#REF!</v>
      </c>
      <c r="I170" s="143" t="e">
        <f t="shared" si="43"/>
        <v>#REF!</v>
      </c>
      <c r="J170" s="143" t="e">
        <f t="shared" si="43"/>
        <v>#REF!</v>
      </c>
      <c r="K170" s="143" t="e">
        <f t="shared" si="43"/>
        <v>#REF!</v>
      </c>
      <c r="L170" s="143" t="e">
        <f t="shared" si="43"/>
        <v>#REF!</v>
      </c>
      <c r="M170" s="143" t="e">
        <f t="shared" si="43"/>
        <v>#REF!</v>
      </c>
      <c r="N170" s="143" t="e">
        <f>(N171-N169)-0.005</f>
        <v>#REF!</v>
      </c>
      <c r="O170" s="143" t="e">
        <f>(O171-O169)</f>
        <v>#REF!</v>
      </c>
      <c r="P170" s="143" t="e">
        <f>(P171-P169)</f>
        <v>#REF!</v>
      </c>
      <c r="Q170" s="143" t="e">
        <f>(Q171-Q169)</f>
        <v>#REF!</v>
      </c>
    </row>
    <row r="171" spans="1:19" ht="13.5" customHeight="1">
      <c r="B171" s="8" t="s">
        <v>160</v>
      </c>
      <c r="C171" s="143" t="e">
        <f t="shared" ref="C171:O171" si="44">C125*100</f>
        <v>#REF!</v>
      </c>
      <c r="D171" s="143" t="e">
        <f t="shared" si="44"/>
        <v>#REF!</v>
      </c>
      <c r="E171" s="143" t="e">
        <f t="shared" si="44"/>
        <v>#REF!</v>
      </c>
      <c r="F171" s="143" t="e">
        <f t="shared" si="44"/>
        <v>#REF!</v>
      </c>
      <c r="G171" s="143" t="e">
        <f t="shared" si="44"/>
        <v>#REF!</v>
      </c>
      <c r="H171" s="143" t="e">
        <f t="shared" si="44"/>
        <v>#REF!</v>
      </c>
      <c r="I171" s="143" t="e">
        <f t="shared" si="44"/>
        <v>#REF!</v>
      </c>
      <c r="J171" s="143" t="e">
        <f t="shared" si="44"/>
        <v>#REF!</v>
      </c>
      <c r="K171" s="143" t="e">
        <f t="shared" si="44"/>
        <v>#REF!</v>
      </c>
      <c r="L171" s="143" t="e">
        <f t="shared" si="44"/>
        <v>#REF!</v>
      </c>
      <c r="M171" s="143" t="e">
        <f t="shared" si="44"/>
        <v>#REF!</v>
      </c>
      <c r="N171" s="143" t="e">
        <f t="shared" si="44"/>
        <v>#REF!</v>
      </c>
      <c r="O171" s="143" t="e">
        <f t="shared" si="44"/>
        <v>#REF!</v>
      </c>
      <c r="P171" s="143" t="e">
        <f>P125*100</f>
        <v>#REF!</v>
      </c>
      <c r="Q171" s="143" t="e">
        <f>Q125*100</f>
        <v>#REF!</v>
      </c>
    </row>
    <row r="172" spans="1:19" ht="13.5" customHeight="1">
      <c r="C172" s="143"/>
      <c r="D172" s="143"/>
      <c r="E172" s="143"/>
    </row>
    <row r="173" spans="1:19" ht="13.5" customHeight="1">
      <c r="C173" s="143"/>
      <c r="D173" s="143"/>
      <c r="E173" s="143"/>
      <c r="F173" s="39" t="s">
        <v>288</v>
      </c>
      <c r="G173" s="39" t="s">
        <v>289</v>
      </c>
      <c r="H173" s="39" t="s">
        <v>290</v>
      </c>
      <c r="I173" s="39" t="s">
        <v>291</v>
      </c>
      <c r="J173" s="39" t="s">
        <v>292</v>
      </c>
      <c r="K173" s="39" t="s">
        <v>287</v>
      </c>
      <c r="N173" s="11">
        <v>2010</v>
      </c>
      <c r="O173" s="11">
        <v>2011</v>
      </c>
      <c r="P173" s="11">
        <v>2012</v>
      </c>
      <c r="Q173" s="11">
        <v>2013</v>
      </c>
      <c r="R173" s="39" t="s">
        <v>292</v>
      </c>
      <c r="S173" s="39" t="s">
        <v>287</v>
      </c>
    </row>
    <row r="174" spans="1:19" ht="13.5" customHeight="1">
      <c r="C174" s="39">
        <v>2010</v>
      </c>
      <c r="D174" s="39">
        <f>H168</f>
        <v>2011</v>
      </c>
      <c r="E174" s="39">
        <f>L168</f>
        <v>2012</v>
      </c>
      <c r="F174" s="39" t="s">
        <v>234</v>
      </c>
      <c r="G174" s="39" t="s">
        <v>238</v>
      </c>
      <c r="H174" s="39" t="s">
        <v>265</v>
      </c>
      <c r="I174" s="39" t="s">
        <v>293</v>
      </c>
      <c r="J174" s="39" t="s">
        <v>294</v>
      </c>
      <c r="K174" s="39" t="s">
        <v>295</v>
      </c>
      <c r="N174" s="11">
        <v>2010</v>
      </c>
      <c r="O174" s="11">
        <v>2011</v>
      </c>
      <c r="P174" s="11">
        <v>2012</v>
      </c>
      <c r="Q174" s="11">
        <v>2013</v>
      </c>
      <c r="R174" s="39" t="s">
        <v>294</v>
      </c>
      <c r="S174" s="39" t="s">
        <v>295</v>
      </c>
    </row>
    <row r="175" spans="1:19" ht="13.5" customHeight="1">
      <c r="A175" s="8" t="s">
        <v>299</v>
      </c>
      <c r="B175" s="8" t="s">
        <v>253</v>
      </c>
      <c r="C175" s="143" t="e">
        <f>D169</f>
        <v>#REF!</v>
      </c>
      <c r="D175" s="143" t="e">
        <f>H169</f>
        <v>#REF!</v>
      </c>
      <c r="E175" s="143" t="e">
        <f>L169</f>
        <v>#REF!</v>
      </c>
      <c r="F175" s="143" t="e">
        <f t="shared" ref="F175:G177" si="45">M169</f>
        <v>#REF!</v>
      </c>
      <c r="G175" s="143" t="e">
        <f t="shared" si="45"/>
        <v>#REF!</v>
      </c>
      <c r="H175" s="143">
        <f>SUM(O154:O158)</f>
        <v>5.8</v>
      </c>
      <c r="I175" s="143" t="e">
        <f>SUM(P154:P158)</f>
        <v>#REF!</v>
      </c>
      <c r="J175" s="143" t="e">
        <f>SUM(Q154:Q158)</f>
        <v>#REF!</v>
      </c>
      <c r="K175" s="143">
        <f>SUM(R154:R158)</f>
        <v>0</v>
      </c>
      <c r="N175" s="143" t="e">
        <f t="shared" ref="N175:P177" si="46">+C175</f>
        <v>#REF!</v>
      </c>
      <c r="O175" s="143" t="e">
        <f t="shared" si="46"/>
        <v>#REF!</v>
      </c>
      <c r="P175" s="143" t="e">
        <f t="shared" si="46"/>
        <v>#REF!</v>
      </c>
      <c r="Q175" s="143" t="e">
        <f t="shared" ref="Q175:S177" si="47">+I175</f>
        <v>#REF!</v>
      </c>
      <c r="R175" s="143" t="e">
        <f t="shared" si="47"/>
        <v>#REF!</v>
      </c>
      <c r="S175" s="8">
        <f t="shared" si="47"/>
        <v>0</v>
      </c>
    </row>
    <row r="176" spans="1:19" ht="13.5" customHeight="1">
      <c r="A176" s="8" t="s">
        <v>300</v>
      </c>
      <c r="B176" s="8" t="s">
        <v>252</v>
      </c>
      <c r="C176" s="143" t="e">
        <f>D170</f>
        <v>#REF!</v>
      </c>
      <c r="D176" s="143" t="e">
        <f>H170</f>
        <v>#REF!</v>
      </c>
      <c r="E176" s="143" t="e">
        <f>L170</f>
        <v>#REF!</v>
      </c>
      <c r="F176" s="143" t="e">
        <f t="shared" si="45"/>
        <v>#REF!</v>
      </c>
      <c r="G176" s="143" t="e">
        <f t="shared" si="45"/>
        <v>#REF!</v>
      </c>
      <c r="H176" s="143">
        <f>SUM(O159:O163)</f>
        <v>2.4000000000000004</v>
      </c>
      <c r="I176" s="143" t="e">
        <f>SUM(P159:P163)</f>
        <v>#REF!</v>
      </c>
      <c r="J176" s="143" t="e">
        <f>SUM(Q159:Q163)</f>
        <v>#REF!</v>
      </c>
      <c r="K176" s="143">
        <f>SUM(R159:R163)</f>
        <v>0</v>
      </c>
      <c r="N176" s="143" t="e">
        <f t="shared" si="46"/>
        <v>#REF!</v>
      </c>
      <c r="O176" s="143" t="e">
        <f t="shared" si="46"/>
        <v>#REF!</v>
      </c>
      <c r="P176" s="143" t="e">
        <f t="shared" si="46"/>
        <v>#REF!</v>
      </c>
      <c r="Q176" s="143" t="e">
        <f t="shared" si="47"/>
        <v>#REF!</v>
      </c>
      <c r="R176" s="143" t="e">
        <f t="shared" si="47"/>
        <v>#REF!</v>
      </c>
      <c r="S176" s="8">
        <f t="shared" si="47"/>
        <v>0</v>
      </c>
    </row>
    <row r="177" spans="2:19" ht="13.5" customHeight="1">
      <c r="B177" s="8" t="s">
        <v>160</v>
      </c>
      <c r="C177" s="143" t="e">
        <f>D171</f>
        <v>#REF!</v>
      </c>
      <c r="D177" s="143" t="e">
        <f>H171</f>
        <v>#REF!</v>
      </c>
      <c r="E177" s="143" t="e">
        <f>L171</f>
        <v>#REF!</v>
      </c>
      <c r="F177" s="143" t="e">
        <f t="shared" si="45"/>
        <v>#REF!</v>
      </c>
      <c r="G177" s="143" t="e">
        <f t="shared" si="45"/>
        <v>#REF!</v>
      </c>
      <c r="H177" s="143">
        <f>SUM(H175:H176)</f>
        <v>8.1999999999999993</v>
      </c>
      <c r="I177" s="143" t="e">
        <f>SUM(I175:I176)</f>
        <v>#REF!</v>
      </c>
      <c r="J177" s="143" t="e">
        <f>SUM(J175:J176)</f>
        <v>#REF!</v>
      </c>
      <c r="K177" s="143">
        <f>SUM(K175:K176)</f>
        <v>0</v>
      </c>
      <c r="N177" s="143" t="e">
        <f t="shared" si="46"/>
        <v>#REF!</v>
      </c>
      <c r="O177" s="143" t="e">
        <f t="shared" si="46"/>
        <v>#REF!</v>
      </c>
      <c r="P177" s="143" t="e">
        <f t="shared" si="46"/>
        <v>#REF!</v>
      </c>
      <c r="Q177" s="42" t="e">
        <f t="shared" si="47"/>
        <v>#REF!</v>
      </c>
      <c r="R177" s="143" t="e">
        <f t="shared" si="47"/>
        <v>#REF!</v>
      </c>
      <c r="S177" s="8">
        <f t="shared" si="47"/>
        <v>0</v>
      </c>
    </row>
    <row r="194" spans="2:19" ht="13.5" customHeight="1">
      <c r="C194" s="268" t="s">
        <v>160</v>
      </c>
      <c r="D194" s="268"/>
      <c r="E194" s="268"/>
      <c r="F194" s="268"/>
      <c r="G194" s="268"/>
      <c r="H194" s="268" t="s">
        <v>185</v>
      </c>
      <c r="I194" s="268"/>
      <c r="J194" s="268"/>
      <c r="K194" s="268"/>
      <c r="M194" s="268" t="s">
        <v>199</v>
      </c>
      <c r="N194" s="268"/>
    </row>
    <row r="195" spans="2:19" ht="12.75" customHeight="1">
      <c r="B195" s="90"/>
      <c r="C195" s="269" t="s">
        <v>149</v>
      </c>
      <c r="D195" s="270"/>
      <c r="E195" s="269" t="s">
        <v>217</v>
      </c>
      <c r="F195" s="270"/>
      <c r="G195" s="93" t="s">
        <v>177</v>
      </c>
      <c r="H195" s="94" t="s">
        <v>179</v>
      </c>
      <c r="I195" s="99" t="s">
        <v>180</v>
      </c>
      <c r="J195" s="93" t="s">
        <v>191</v>
      </c>
      <c r="K195" s="106" t="s">
        <v>193</v>
      </c>
      <c r="L195" s="106" t="s">
        <v>195</v>
      </c>
      <c r="M195" s="94" t="s">
        <v>13</v>
      </c>
      <c r="N195" s="90"/>
      <c r="O195" s="90"/>
      <c r="P195" s="99" t="s">
        <v>186</v>
      </c>
      <c r="Q195" s="99" t="s">
        <v>200</v>
      </c>
    </row>
    <row r="196" spans="2:19" ht="12.75" customHeight="1">
      <c r="B196" s="91" t="s">
        <v>28</v>
      </c>
      <c r="C196" s="97" t="s">
        <v>212</v>
      </c>
      <c r="D196" s="98" t="s">
        <v>213</v>
      </c>
      <c r="E196" s="97" t="s">
        <v>212</v>
      </c>
      <c r="F196" s="98" t="s">
        <v>213</v>
      </c>
      <c r="G196" s="97" t="s">
        <v>178</v>
      </c>
      <c r="H196" s="98" t="s">
        <v>181</v>
      </c>
      <c r="I196" s="100" t="s">
        <v>176</v>
      </c>
      <c r="J196" s="97" t="s">
        <v>192</v>
      </c>
      <c r="K196" s="101" t="s">
        <v>194</v>
      </c>
      <c r="L196" s="101" t="s">
        <v>12</v>
      </c>
      <c r="M196" s="98" t="s">
        <v>196</v>
      </c>
      <c r="N196" s="100" t="s">
        <v>27</v>
      </c>
      <c r="O196" s="100" t="s">
        <v>27</v>
      </c>
      <c r="P196" s="100" t="s">
        <v>187</v>
      </c>
      <c r="Q196" s="100" t="s">
        <v>201</v>
      </c>
    </row>
    <row r="197" spans="2:19" ht="12.75" customHeight="1">
      <c r="B197" s="90" t="s">
        <v>29</v>
      </c>
      <c r="C197" s="146">
        <v>23201</v>
      </c>
      <c r="D197" s="147">
        <v>452</v>
      </c>
      <c r="E197" s="148">
        <v>-13977</v>
      </c>
      <c r="F197" s="149">
        <v>-130</v>
      </c>
      <c r="G197" s="146">
        <f>SUM(C197:F197)</f>
        <v>9546</v>
      </c>
      <c r="H197" s="150">
        <v>15449.727809795853</v>
      </c>
      <c r="I197" s="151">
        <f>G197+H197</f>
        <v>24995.727809795855</v>
      </c>
      <c r="J197" s="152">
        <v>24996.589544395662</v>
      </c>
      <c r="K197" s="153">
        <v>0</v>
      </c>
      <c r="L197" s="153">
        <v>0</v>
      </c>
      <c r="M197" s="150">
        <v>0</v>
      </c>
      <c r="N197" s="151">
        <f>SUM(J197:M197)</f>
        <v>24996.589544395662</v>
      </c>
      <c r="O197" s="154">
        <f>MIN(SUM($J197:$M197),$I197)</f>
        <v>24995.727809795855</v>
      </c>
      <c r="P197" s="155">
        <f>O197/I197</f>
        <v>1</v>
      </c>
      <c r="Q197" s="155">
        <f>(I197-O197)/I197</f>
        <v>0</v>
      </c>
      <c r="R197" s="9">
        <f>N197-O197</f>
        <v>0.86173459980636835</v>
      </c>
      <c r="S197" s="9"/>
    </row>
    <row r="198" spans="2:19" ht="12.75" customHeight="1">
      <c r="B198" s="156" t="s">
        <v>183</v>
      </c>
      <c r="C198" s="157">
        <v>3522</v>
      </c>
      <c r="D198" s="149">
        <v>82</v>
      </c>
      <c r="E198" s="9">
        <v>-1825</v>
      </c>
      <c r="F198" s="149">
        <v>-25</v>
      </c>
      <c r="G198" s="157">
        <f>SUM(C198:F198)</f>
        <v>1754</v>
      </c>
      <c r="H198" s="161">
        <v>719.65300416155696</v>
      </c>
      <c r="I198" s="159">
        <f t="shared" ref="I198:I207" si="48">G198+H198</f>
        <v>2473.653004161557</v>
      </c>
      <c r="J198" s="160">
        <v>2278.9596883918998</v>
      </c>
      <c r="K198" s="161">
        <v>0</v>
      </c>
      <c r="L198" s="161">
        <v>20.881592999999999</v>
      </c>
      <c r="M198" s="158">
        <v>60.00139282</v>
      </c>
      <c r="N198" s="159">
        <f t="shared" ref="N198:N207" si="49">SUM(J198:M198)</f>
        <v>2359.8426742119</v>
      </c>
      <c r="O198" s="162">
        <f>MIN(SUM($J198:$M198),$I198)</f>
        <v>2359.8426742119</v>
      </c>
      <c r="P198" s="163">
        <f>O198/I198</f>
        <v>0.95399098832447882</v>
      </c>
      <c r="Q198" s="163">
        <f>(I198-O198)/I198</f>
        <v>4.6009011675521128E-2</v>
      </c>
      <c r="R198" s="9">
        <f t="shared" ref="R198:R207" si="50">N198-O198</f>
        <v>0</v>
      </c>
      <c r="S198" s="9"/>
    </row>
    <row r="199" spans="2:19" ht="12.75" customHeight="1">
      <c r="B199" s="156" t="s">
        <v>173</v>
      </c>
      <c r="C199" s="157">
        <v>2011</v>
      </c>
      <c r="D199" s="149">
        <v>1618</v>
      </c>
      <c r="E199" s="9">
        <v>-700</v>
      </c>
      <c r="F199" s="149">
        <v>-461</v>
      </c>
      <c r="G199" s="157">
        <f t="shared" ref="G199:G206" si="51">SUM(C199:F199)</f>
        <v>2468</v>
      </c>
      <c r="H199" s="161">
        <v>311.07503647415405</v>
      </c>
      <c r="I199" s="159">
        <f t="shared" si="48"/>
        <v>2779.0750364741539</v>
      </c>
      <c r="J199" s="160">
        <v>230.97992288</v>
      </c>
      <c r="K199" s="161">
        <v>2126.4124887523999</v>
      </c>
      <c r="L199" s="161">
        <v>0.10735730239999999</v>
      </c>
      <c r="M199" s="158">
        <v>5.4558210000000003</v>
      </c>
      <c r="N199" s="159">
        <f t="shared" si="49"/>
        <v>2362.9555899347997</v>
      </c>
      <c r="O199" s="162">
        <f t="shared" ref="O199:O207" si="52">MIN(SUM($J199:$M199),$I199)</f>
        <v>2362.9555899347997</v>
      </c>
      <c r="P199" s="163">
        <f t="shared" ref="P199:P207" si="53">O199/I199</f>
        <v>0.85026692655722969</v>
      </c>
      <c r="Q199" s="163">
        <f t="shared" ref="Q199:Q207" si="54">(I199-O199)/I199</f>
        <v>0.14973307344277034</v>
      </c>
      <c r="R199" s="9">
        <f t="shared" si="50"/>
        <v>0</v>
      </c>
      <c r="S199" s="9"/>
    </row>
    <row r="200" spans="2:19" ht="12.75" customHeight="1">
      <c r="B200" s="156" t="s">
        <v>182</v>
      </c>
      <c r="C200" s="157">
        <v>197</v>
      </c>
      <c r="D200" s="149">
        <v>0</v>
      </c>
      <c r="E200" s="9">
        <v>-171</v>
      </c>
      <c r="F200" s="149">
        <v>0</v>
      </c>
      <c r="G200" s="157">
        <f t="shared" si="51"/>
        <v>26</v>
      </c>
      <c r="H200" s="161">
        <v>14.023354232840093</v>
      </c>
      <c r="I200" s="159">
        <f t="shared" si="48"/>
        <v>40.023354232840092</v>
      </c>
      <c r="J200" s="160">
        <v>11.330732529999999</v>
      </c>
      <c r="K200" s="161">
        <v>0</v>
      </c>
      <c r="L200" s="161">
        <v>0</v>
      </c>
      <c r="M200" s="158">
        <v>6.438402</v>
      </c>
      <c r="N200" s="159">
        <f t="shared" si="49"/>
        <v>17.769134529999999</v>
      </c>
      <c r="O200" s="162">
        <f t="shared" si="52"/>
        <v>17.769134529999999</v>
      </c>
      <c r="P200" s="163">
        <f t="shared" si="53"/>
        <v>0.44396914927784864</v>
      </c>
      <c r="Q200" s="163">
        <f t="shared" si="54"/>
        <v>0.5560308507221513</v>
      </c>
      <c r="R200" s="9">
        <f t="shared" si="50"/>
        <v>0</v>
      </c>
      <c r="S200" s="9"/>
    </row>
    <row r="201" spans="2:19" ht="12.75" customHeight="1">
      <c r="B201" s="156" t="s">
        <v>214</v>
      </c>
      <c r="C201" s="157">
        <v>5807</v>
      </c>
      <c r="D201" s="149">
        <v>0</v>
      </c>
      <c r="E201" s="9">
        <v>-2182</v>
      </c>
      <c r="F201" s="149">
        <v>0</v>
      </c>
      <c r="G201" s="157">
        <f t="shared" si="51"/>
        <v>3625</v>
      </c>
      <c r="H201" s="161">
        <v>1158.2633654914091</v>
      </c>
      <c r="I201" s="159">
        <f t="shared" si="48"/>
        <v>4783.2633654914089</v>
      </c>
      <c r="J201" s="160">
        <v>559.53607655760004</v>
      </c>
      <c r="K201" s="161">
        <v>0</v>
      </c>
      <c r="L201" s="161">
        <v>372.9239644347</v>
      </c>
      <c r="M201" s="158">
        <v>315.50204430619999</v>
      </c>
      <c r="N201" s="159">
        <f t="shared" si="49"/>
        <v>1247.9620852984999</v>
      </c>
      <c r="O201" s="162">
        <f t="shared" si="52"/>
        <v>1247.9620852984999</v>
      </c>
      <c r="P201" s="163">
        <f t="shared" si="53"/>
        <v>0.26090181324780354</v>
      </c>
      <c r="Q201" s="163">
        <f t="shared" si="54"/>
        <v>0.73909818675219641</v>
      </c>
      <c r="R201" s="9">
        <f t="shared" si="50"/>
        <v>0</v>
      </c>
      <c r="S201" s="9"/>
    </row>
    <row r="202" spans="2:19" ht="12.75" customHeight="1">
      <c r="B202" s="156" t="s">
        <v>215</v>
      </c>
      <c r="C202" s="157">
        <v>5891</v>
      </c>
      <c r="D202" s="149">
        <v>0</v>
      </c>
      <c r="E202" s="9">
        <v>-4328</v>
      </c>
      <c r="F202" s="149">
        <v>0</v>
      </c>
      <c r="G202" s="157">
        <f t="shared" si="51"/>
        <v>1563</v>
      </c>
      <c r="H202" s="161">
        <v>90.497442335799292</v>
      </c>
      <c r="I202" s="159">
        <f t="shared" si="48"/>
        <v>1653.4974423357994</v>
      </c>
      <c r="J202" s="160">
        <v>33.971345929999998</v>
      </c>
      <c r="K202" s="161">
        <v>0</v>
      </c>
      <c r="L202" s="161">
        <v>70.85092225999999</v>
      </c>
      <c r="M202" s="158">
        <v>317.55113326999998</v>
      </c>
      <c r="N202" s="159">
        <f t="shared" si="49"/>
        <v>422.37340145999997</v>
      </c>
      <c r="O202" s="162">
        <f t="shared" si="52"/>
        <v>422.37340145999997</v>
      </c>
      <c r="P202" s="163">
        <f t="shared" si="53"/>
        <v>0.25544242805924011</v>
      </c>
      <c r="Q202" s="163">
        <f t="shared" si="54"/>
        <v>0.74455757194075989</v>
      </c>
      <c r="R202" s="9">
        <f t="shared" si="50"/>
        <v>0</v>
      </c>
      <c r="S202" s="9"/>
    </row>
    <row r="203" spans="2:19" ht="12.75" customHeight="1">
      <c r="B203" s="156" t="s">
        <v>216</v>
      </c>
      <c r="C203" s="157">
        <v>927</v>
      </c>
      <c r="D203" s="149">
        <v>33</v>
      </c>
      <c r="E203" s="9">
        <v>-502</v>
      </c>
      <c r="F203" s="149">
        <v>-17</v>
      </c>
      <c r="G203" s="157">
        <f t="shared" si="51"/>
        <v>441</v>
      </c>
      <c r="H203" s="161">
        <v>52.681768972801976</v>
      </c>
      <c r="I203" s="159">
        <f t="shared" si="48"/>
        <v>493.68176897280199</v>
      </c>
      <c r="J203" s="160">
        <v>394.63301573000001</v>
      </c>
      <c r="K203" s="161">
        <v>0</v>
      </c>
      <c r="L203" s="161">
        <v>3.7515049999999999</v>
      </c>
      <c r="M203" s="158">
        <v>94.312206971836304</v>
      </c>
      <c r="N203" s="159">
        <f t="shared" si="49"/>
        <v>492.69672770183632</v>
      </c>
      <c r="O203" s="162">
        <f t="shared" si="52"/>
        <v>492.69672770183632</v>
      </c>
      <c r="P203" s="163">
        <f t="shared" si="53"/>
        <v>0.99800470397556862</v>
      </c>
      <c r="Q203" s="163">
        <f t="shared" si="54"/>
        <v>1.9952960244313473E-3</v>
      </c>
      <c r="R203" s="9">
        <f t="shared" si="50"/>
        <v>0</v>
      </c>
      <c r="S203" s="9"/>
    </row>
    <row r="204" spans="2:19" ht="12.75" customHeight="1">
      <c r="B204" s="156" t="s">
        <v>174</v>
      </c>
      <c r="C204" s="157">
        <v>362</v>
      </c>
      <c r="D204" s="149">
        <v>0</v>
      </c>
      <c r="E204" s="9">
        <v>-66</v>
      </c>
      <c r="F204" s="149">
        <v>0</v>
      </c>
      <c r="G204" s="157">
        <f t="shared" si="51"/>
        <v>296</v>
      </c>
      <c r="H204" s="161">
        <v>16.018237730251617</v>
      </c>
      <c r="I204" s="159">
        <f t="shared" si="48"/>
        <v>312.0182377302516</v>
      </c>
      <c r="J204" s="160">
        <v>35.252533739999997</v>
      </c>
      <c r="K204" s="161">
        <v>0</v>
      </c>
      <c r="L204" s="161">
        <v>3.2703120000000001</v>
      </c>
      <c r="M204" s="158">
        <v>31.106198130000003</v>
      </c>
      <c r="N204" s="159">
        <f t="shared" si="49"/>
        <v>69.629043870000004</v>
      </c>
      <c r="O204" s="162">
        <f t="shared" si="52"/>
        <v>69.629043870000004</v>
      </c>
      <c r="P204" s="163">
        <f t="shared" si="53"/>
        <v>0.22315696792761275</v>
      </c>
      <c r="Q204" s="163">
        <f t="shared" si="54"/>
        <v>0.77684303207238725</v>
      </c>
      <c r="R204" s="9">
        <f t="shared" si="50"/>
        <v>0</v>
      </c>
      <c r="S204" s="9"/>
    </row>
    <row r="205" spans="2:19" ht="12.75" customHeight="1">
      <c r="B205" s="156" t="s">
        <v>175</v>
      </c>
      <c r="C205" s="157">
        <v>1895</v>
      </c>
      <c r="D205" s="149">
        <v>21</v>
      </c>
      <c r="E205" s="9">
        <v>-787</v>
      </c>
      <c r="F205" s="149">
        <v>-21</v>
      </c>
      <c r="G205" s="157">
        <f t="shared" si="51"/>
        <v>1108</v>
      </c>
      <c r="H205" s="161">
        <v>47.36221614415264</v>
      </c>
      <c r="I205" s="159">
        <f t="shared" si="48"/>
        <v>1155.3622161441526</v>
      </c>
      <c r="J205" s="160">
        <v>138.44418399</v>
      </c>
      <c r="K205" s="161">
        <v>9.9999999999999995E-7</v>
      </c>
      <c r="L205" s="161">
        <v>0</v>
      </c>
      <c r="M205" s="158">
        <v>9.3457947200000007</v>
      </c>
      <c r="N205" s="159">
        <f t="shared" si="49"/>
        <v>147.78997971000001</v>
      </c>
      <c r="O205" s="162">
        <f t="shared" si="52"/>
        <v>147.78997971000001</v>
      </c>
      <c r="P205" s="163">
        <f t="shared" si="53"/>
        <v>0.12791657684914329</v>
      </c>
      <c r="Q205" s="163">
        <f t="shared" si="54"/>
        <v>0.87208342315085674</v>
      </c>
      <c r="R205" s="9">
        <f t="shared" si="50"/>
        <v>0</v>
      </c>
      <c r="S205" s="9"/>
    </row>
    <row r="206" spans="2:19" ht="12.75" customHeight="1">
      <c r="B206" s="156" t="s">
        <v>204</v>
      </c>
      <c r="C206" s="157">
        <v>35</v>
      </c>
      <c r="D206" s="149">
        <v>0</v>
      </c>
      <c r="E206" s="9">
        <v>-8</v>
      </c>
      <c r="F206" s="149">
        <v>0</v>
      </c>
      <c r="G206" s="157">
        <f t="shared" si="51"/>
        <v>27</v>
      </c>
      <c r="H206" s="161">
        <v>52.690154418597039</v>
      </c>
      <c r="I206" s="159">
        <f t="shared" si="48"/>
        <v>79.690154418597047</v>
      </c>
      <c r="J206" s="160">
        <v>40.523394140000001</v>
      </c>
      <c r="K206" s="161">
        <v>0</v>
      </c>
      <c r="L206" s="161">
        <v>0</v>
      </c>
      <c r="M206" s="158">
        <v>0</v>
      </c>
      <c r="N206" s="159">
        <f t="shared" si="49"/>
        <v>40.523394140000001</v>
      </c>
      <c r="O206" s="162">
        <f t="shared" si="52"/>
        <v>40.523394140000001</v>
      </c>
      <c r="P206" s="163">
        <f t="shared" si="53"/>
        <v>0.50851192892836439</v>
      </c>
      <c r="Q206" s="163">
        <f t="shared" si="54"/>
        <v>0.49148807107163567</v>
      </c>
      <c r="R206" s="9">
        <f t="shared" si="50"/>
        <v>0</v>
      </c>
      <c r="S206" s="9"/>
    </row>
    <row r="207" spans="2:19" ht="12.75" customHeight="1">
      <c r="B207" s="164" t="s">
        <v>184</v>
      </c>
      <c r="C207" s="165">
        <v>847</v>
      </c>
      <c r="D207" s="166">
        <v>0</v>
      </c>
      <c r="E207" s="167">
        <v>-367</v>
      </c>
      <c r="F207" s="166">
        <v>0</v>
      </c>
      <c r="G207" s="165">
        <f>SUM(C207:F207)</f>
        <v>480</v>
      </c>
      <c r="H207" s="161">
        <v>54.253558242580922</v>
      </c>
      <c r="I207" s="169">
        <f t="shared" si="48"/>
        <v>534.25355824258088</v>
      </c>
      <c r="J207" s="170">
        <v>110.13931135</v>
      </c>
      <c r="K207" s="171">
        <v>0</v>
      </c>
      <c r="L207" s="171">
        <v>0</v>
      </c>
      <c r="M207" s="168">
        <v>1.005339</v>
      </c>
      <c r="N207" s="169">
        <f t="shared" si="49"/>
        <v>111.14465035000001</v>
      </c>
      <c r="O207" s="162">
        <f t="shared" si="52"/>
        <v>111.14465035000001</v>
      </c>
      <c r="P207" s="163">
        <f t="shared" si="53"/>
        <v>0.20803726738968042</v>
      </c>
      <c r="Q207" s="163">
        <f t="shared" si="54"/>
        <v>0.79196273261031958</v>
      </c>
      <c r="R207" s="9">
        <f t="shared" si="50"/>
        <v>0</v>
      </c>
      <c r="S207" s="9"/>
    </row>
    <row r="208" spans="2:19" ht="12.75" customHeight="1" thickBot="1">
      <c r="B208" s="92" t="s">
        <v>27</v>
      </c>
      <c r="C208" s="95">
        <f t="shared" ref="C208:I208" si="55">SUM(C197:C207)</f>
        <v>44695</v>
      </c>
      <c r="D208" s="103">
        <f t="shared" si="55"/>
        <v>2206</v>
      </c>
      <c r="E208" s="109">
        <f t="shared" si="55"/>
        <v>-24913</v>
      </c>
      <c r="F208" s="96">
        <f t="shared" si="55"/>
        <v>-654</v>
      </c>
      <c r="G208" s="102">
        <f t="shared" si="55"/>
        <v>21334</v>
      </c>
      <c r="H208" s="103">
        <f t="shared" si="55"/>
        <v>17966.245947999996</v>
      </c>
      <c r="I208" s="104">
        <f t="shared" si="55"/>
        <v>39300.245947999996</v>
      </c>
      <c r="J208" s="102">
        <f t="shared" ref="J208:O208" si="56">SUM(J197:J207)</f>
        <v>28830.359749635165</v>
      </c>
      <c r="K208" s="105">
        <f t="shared" si="56"/>
        <v>2126.4124897523998</v>
      </c>
      <c r="L208" s="105">
        <f t="shared" si="56"/>
        <v>471.78565399709998</v>
      </c>
      <c r="M208" s="103">
        <f t="shared" si="56"/>
        <v>840.71833221803638</v>
      </c>
      <c r="N208" s="104">
        <f t="shared" si="56"/>
        <v>32269.276225602705</v>
      </c>
      <c r="O208" s="104">
        <f t="shared" si="56"/>
        <v>32268.414491002899</v>
      </c>
      <c r="P208" s="172">
        <f>O208/I208</f>
        <v>0.82107411067347402</v>
      </c>
      <c r="Q208" s="173">
        <f>(I208-O208)/I208</f>
        <v>0.17892588932652595</v>
      </c>
    </row>
    <row r="209" spans="1:9" ht="13.5" customHeight="1" thickTop="1">
      <c r="G209" s="9">
        <f>+G208-N121</f>
        <v>-10221</v>
      </c>
      <c r="I209" s="9">
        <f>+I208-M136</f>
        <v>-18212.754052000004</v>
      </c>
    </row>
    <row r="211" spans="1:9" ht="13.5" customHeight="1">
      <c r="C211" s="114" t="s">
        <v>301</v>
      </c>
    </row>
    <row r="212" spans="1:9" ht="13.5" customHeight="1">
      <c r="A212" s="8" t="s">
        <v>302</v>
      </c>
      <c r="B212" s="8" t="s">
        <v>189</v>
      </c>
      <c r="C212" s="193" t="e">
        <f>(J208/$Q$131)*100</f>
        <v>#REF!</v>
      </c>
    </row>
    <row r="213" spans="1:9" ht="13.5" customHeight="1">
      <c r="A213" s="8" t="s">
        <v>303</v>
      </c>
      <c r="B213" s="8" t="s">
        <v>190</v>
      </c>
      <c r="C213" s="193" t="e">
        <f>(K208/$Q$131)*100</f>
        <v>#REF!</v>
      </c>
    </row>
    <row r="214" spans="1:9" ht="13.5" customHeight="1">
      <c r="A214" s="8" t="s">
        <v>304</v>
      </c>
      <c r="B214" s="8" t="s">
        <v>222</v>
      </c>
      <c r="C214" s="193" t="e">
        <f>(L208/$Q$131)*100</f>
        <v>#REF!</v>
      </c>
    </row>
    <row r="215" spans="1:9" ht="13.5" customHeight="1">
      <c r="A215" s="8" t="s">
        <v>305</v>
      </c>
      <c r="B215" s="8" t="s">
        <v>197</v>
      </c>
      <c r="C215" s="193" t="e">
        <f>(M208/$Q$131)*100</f>
        <v>#REF!</v>
      </c>
    </row>
    <row r="216" spans="1:9" ht="13.5" customHeight="1">
      <c r="A216" s="8" t="s">
        <v>306</v>
      </c>
      <c r="B216" s="8" t="s">
        <v>198</v>
      </c>
      <c r="C216" s="193" t="e">
        <f>(((I208-N208)/$Q$131)*100)</f>
        <v>#REF!</v>
      </c>
    </row>
    <row r="217" spans="1:9" ht="13.5" customHeight="1">
      <c r="C217" s="144" t="e">
        <f>SUM(C212:C216)</f>
        <v>#REF!</v>
      </c>
      <c r="D217" s="8">
        <f>4.7+1.6+0.8+0.6+0.8</f>
        <v>8.5</v>
      </c>
    </row>
    <row r="218" spans="1:9" ht="13.5" customHeight="1">
      <c r="C218" s="44"/>
      <c r="D218" s="144"/>
    </row>
    <row r="219" spans="1:9" ht="13.5" customHeight="1">
      <c r="A219" s="8" t="s">
        <v>307</v>
      </c>
      <c r="B219" s="31" t="s">
        <v>254</v>
      </c>
      <c r="C219" s="194" t="e">
        <f>SUM(Q154:Q158)</f>
        <v>#REF!</v>
      </c>
      <c r="D219" s="144"/>
    </row>
    <row r="220" spans="1:9" ht="13.5" customHeight="1">
      <c r="A220" s="8" t="s">
        <v>308</v>
      </c>
      <c r="B220" s="31" t="s">
        <v>255</v>
      </c>
      <c r="C220" s="194" t="e">
        <f>Q159</f>
        <v>#REF!</v>
      </c>
      <c r="D220" s="144"/>
    </row>
    <row r="221" spans="1:9" ht="13.5" customHeight="1">
      <c r="A221" s="8" t="s">
        <v>309</v>
      </c>
      <c r="B221" s="31" t="s">
        <v>261</v>
      </c>
      <c r="C221" s="194" t="e">
        <f>Q160</f>
        <v>#REF!</v>
      </c>
      <c r="D221" s="144"/>
    </row>
    <row r="222" spans="1:9" ht="13.5" customHeight="1">
      <c r="A222" s="8" t="s">
        <v>310</v>
      </c>
      <c r="B222" s="31" t="s">
        <v>221</v>
      </c>
      <c r="C222" s="194" t="e">
        <f>Q161</f>
        <v>#REF!</v>
      </c>
      <c r="D222" s="144"/>
    </row>
    <row r="223" spans="1:9" ht="13.5" customHeight="1">
      <c r="A223" s="8" t="s">
        <v>311</v>
      </c>
      <c r="B223" s="8" t="s">
        <v>312</v>
      </c>
      <c r="C223" s="194" t="e">
        <f>Q163</f>
        <v>#REF!</v>
      </c>
      <c r="D223" s="144"/>
    </row>
    <row r="224" spans="1:9" ht="13.5" customHeight="1">
      <c r="C224" s="144" t="e">
        <f>SUM(C219:C223)</f>
        <v>#REF!</v>
      </c>
      <c r="D224" s="144">
        <f>5.8+1.3+0.1+0+1</f>
        <v>8.1999999999999993</v>
      </c>
    </row>
    <row r="227" spans="2:19" ht="13.5" customHeight="1">
      <c r="B227" s="174">
        <v>41274</v>
      </c>
    </row>
    <row r="228" spans="2:19" ht="13.5" customHeight="1">
      <c r="B228" s="90"/>
      <c r="C228" s="269" t="s">
        <v>149</v>
      </c>
      <c r="D228" s="270"/>
      <c r="E228" s="269" t="s">
        <v>217</v>
      </c>
      <c r="F228" s="270"/>
      <c r="G228" s="93" t="s">
        <v>177</v>
      </c>
      <c r="H228" s="94" t="s">
        <v>179</v>
      </c>
      <c r="I228" s="99" t="s">
        <v>180</v>
      </c>
      <c r="J228" s="93" t="s">
        <v>191</v>
      </c>
      <c r="K228" s="106" t="s">
        <v>193</v>
      </c>
      <c r="L228" s="106" t="s">
        <v>195</v>
      </c>
      <c r="M228" s="94" t="s">
        <v>13</v>
      </c>
      <c r="N228" s="90"/>
      <c r="O228" s="90"/>
      <c r="P228" s="99" t="s">
        <v>186</v>
      </c>
      <c r="Q228" s="99" t="s">
        <v>200</v>
      </c>
    </row>
    <row r="229" spans="2:19" ht="13.5" customHeight="1">
      <c r="B229" s="91" t="s">
        <v>28</v>
      </c>
      <c r="C229" s="97" t="s">
        <v>212</v>
      </c>
      <c r="D229" s="98" t="s">
        <v>213</v>
      </c>
      <c r="E229" s="97" t="s">
        <v>212</v>
      </c>
      <c r="F229" s="98" t="s">
        <v>213</v>
      </c>
      <c r="G229" s="97" t="s">
        <v>178</v>
      </c>
      <c r="H229" s="98" t="s">
        <v>181</v>
      </c>
      <c r="I229" s="100" t="s">
        <v>176</v>
      </c>
      <c r="J229" s="97" t="s">
        <v>192</v>
      </c>
      <c r="K229" s="101" t="s">
        <v>194</v>
      </c>
      <c r="L229" s="101" t="s">
        <v>12</v>
      </c>
      <c r="M229" s="98" t="s">
        <v>196</v>
      </c>
      <c r="N229" s="100" t="s">
        <v>27</v>
      </c>
      <c r="O229" s="100" t="s">
        <v>27</v>
      </c>
      <c r="P229" s="100" t="s">
        <v>187</v>
      </c>
      <c r="Q229" s="100" t="s">
        <v>201</v>
      </c>
    </row>
    <row r="230" spans="2:19" ht="13.5" customHeight="1">
      <c r="B230" s="90" t="s">
        <v>29</v>
      </c>
      <c r="C230" s="146">
        <v>19397</v>
      </c>
      <c r="D230" s="147">
        <v>18626</v>
      </c>
      <c r="E230" s="148">
        <v>-13143</v>
      </c>
      <c r="F230" s="149">
        <v>-5032</v>
      </c>
      <c r="G230" s="146">
        <f>SUM(C230:F230)</f>
        <v>19848</v>
      </c>
      <c r="H230" s="147">
        <v>10145.54577349691</v>
      </c>
      <c r="I230" s="151">
        <f>G230+H230</f>
        <v>29993.54577349691</v>
      </c>
      <c r="J230" s="146">
        <v>29544.473733805</v>
      </c>
      <c r="K230" s="148">
        <v>9.5481010000000008</v>
      </c>
      <c r="L230" s="148">
        <v>193.31694047849999</v>
      </c>
      <c r="M230" s="147">
        <v>15.32161011</v>
      </c>
      <c r="N230" s="151">
        <f>SUM(J230:M230)</f>
        <v>29762.660385393501</v>
      </c>
      <c r="O230" s="154">
        <f>MIN(SUM($J230:$M230),$I230)</f>
        <v>29762.660385393501</v>
      </c>
      <c r="P230" s="155">
        <f>O230/I230</f>
        <v>0.99230216427737516</v>
      </c>
      <c r="Q230" s="155">
        <f>(I230-O230)/I230</f>
        <v>7.6978357226248576E-3</v>
      </c>
      <c r="R230" s="9">
        <f>N230-O230</f>
        <v>0</v>
      </c>
      <c r="S230" s="9"/>
    </row>
    <row r="231" spans="2:19" ht="13.5" customHeight="1">
      <c r="B231" s="156" t="s">
        <v>183</v>
      </c>
      <c r="C231" s="157">
        <v>10091</v>
      </c>
      <c r="D231" s="149">
        <v>4139</v>
      </c>
      <c r="E231" s="9">
        <v>-4684</v>
      </c>
      <c r="F231" s="149">
        <v>-1586</v>
      </c>
      <c r="G231" s="157">
        <f>SUM(C231:F231)</f>
        <v>7960</v>
      </c>
      <c r="H231" s="149">
        <v>1662.9277165739932</v>
      </c>
      <c r="I231" s="159">
        <f t="shared" ref="I231:I240" si="57">G231+H231</f>
        <v>9622.9277165739932</v>
      </c>
      <c r="J231" s="157">
        <v>9217.5145901222932</v>
      </c>
      <c r="K231" s="9">
        <v>0</v>
      </c>
      <c r="L231" s="9">
        <v>405.41312645170001</v>
      </c>
      <c r="M231" s="149">
        <v>0</v>
      </c>
      <c r="N231" s="159">
        <f t="shared" ref="N231:N240" si="58">SUM(J231:M231)</f>
        <v>9622.9277165739932</v>
      </c>
      <c r="O231" s="162">
        <f>MIN(SUM($J231:$M231),$I231)</f>
        <v>9622.9277165739932</v>
      </c>
      <c r="P231" s="163">
        <f>O231/I231</f>
        <v>1</v>
      </c>
      <c r="Q231" s="163">
        <f>(I231-O231)/I231</f>
        <v>0</v>
      </c>
      <c r="R231" s="9">
        <f t="shared" ref="R231:R240" si="59">N231-O231</f>
        <v>0</v>
      </c>
      <c r="S231" s="9"/>
    </row>
    <row r="232" spans="2:19" ht="13.5" customHeight="1">
      <c r="B232" s="156" t="s">
        <v>173</v>
      </c>
      <c r="C232" s="157">
        <v>4343</v>
      </c>
      <c r="D232" s="149">
        <v>6913</v>
      </c>
      <c r="E232" s="9">
        <v>-2361</v>
      </c>
      <c r="F232" s="149">
        <v>-2648</v>
      </c>
      <c r="G232" s="157">
        <f t="shared" ref="G232:G239" si="60">SUM(C232:F232)</f>
        <v>6247</v>
      </c>
      <c r="H232" s="149">
        <v>5096.1204874016121</v>
      </c>
      <c r="I232" s="159">
        <f t="shared" si="57"/>
        <v>11343.120487401611</v>
      </c>
      <c r="J232" s="157">
        <v>613.48290530589998</v>
      </c>
      <c r="K232" s="9">
        <v>10079.699740087211</v>
      </c>
      <c r="L232" s="9">
        <v>649.93784200849996</v>
      </c>
      <c r="M232" s="149">
        <v>0</v>
      </c>
      <c r="N232" s="159">
        <f t="shared" si="58"/>
        <v>11343.120487401611</v>
      </c>
      <c r="O232" s="162">
        <f t="shared" ref="O232:O240" si="61">MIN(SUM($J232:$M232),$I232)</f>
        <v>11343.120487401611</v>
      </c>
      <c r="P232" s="163">
        <f t="shared" ref="P232:P240" si="62">O232/I232</f>
        <v>1</v>
      </c>
      <c r="Q232" s="163">
        <f t="shared" ref="Q232:Q240" si="63">(I232-O232)/I232</f>
        <v>0</v>
      </c>
      <c r="R232" s="9">
        <f t="shared" si="59"/>
        <v>0</v>
      </c>
      <c r="S232" s="9"/>
    </row>
    <row r="233" spans="2:19" ht="13.5" customHeight="1">
      <c r="B233" s="156" t="s">
        <v>182</v>
      </c>
      <c r="C233" s="157">
        <v>11192</v>
      </c>
      <c r="D233" s="149">
        <v>307</v>
      </c>
      <c r="E233" s="9">
        <v>-7561</v>
      </c>
      <c r="F233" s="149">
        <v>-187</v>
      </c>
      <c r="G233" s="157">
        <f t="shared" si="60"/>
        <v>3751</v>
      </c>
      <c r="H233" s="149">
        <v>25.79982222528956</v>
      </c>
      <c r="I233" s="159">
        <f t="shared" si="57"/>
        <v>3776.7998222252895</v>
      </c>
      <c r="J233" s="157">
        <v>67.387969686600002</v>
      </c>
      <c r="K233" s="9">
        <v>0</v>
      </c>
      <c r="L233" s="9">
        <v>0</v>
      </c>
      <c r="M233" s="149">
        <v>32.716023499999999</v>
      </c>
      <c r="N233" s="159">
        <f t="shared" si="58"/>
        <v>100.10399318660001</v>
      </c>
      <c r="O233" s="162">
        <f t="shared" si="61"/>
        <v>100.10399318660001</v>
      </c>
      <c r="P233" s="163">
        <f t="shared" si="62"/>
        <v>2.6504977202529829E-2</v>
      </c>
      <c r="Q233" s="163">
        <f t="shared" si="63"/>
        <v>0.97349502279747024</v>
      </c>
      <c r="R233" s="9">
        <f t="shared" si="59"/>
        <v>0</v>
      </c>
      <c r="S233" s="9"/>
    </row>
    <row r="234" spans="2:19" ht="13.5" customHeight="1">
      <c r="B234" s="156" t="s">
        <v>214</v>
      </c>
      <c r="C234" s="157">
        <v>8399</v>
      </c>
      <c r="D234" s="149">
        <v>5638</v>
      </c>
      <c r="E234" s="9">
        <v>-5295</v>
      </c>
      <c r="F234" s="149">
        <v>-2639</v>
      </c>
      <c r="G234" s="157">
        <f t="shared" si="60"/>
        <v>6103</v>
      </c>
      <c r="H234" s="149">
        <v>1530.7660229900159</v>
      </c>
      <c r="I234" s="159">
        <f t="shared" si="57"/>
        <v>7633.7660229900157</v>
      </c>
      <c r="J234" s="157">
        <v>2773.2637027925998</v>
      </c>
      <c r="K234" s="9">
        <v>0</v>
      </c>
      <c r="L234" s="9">
        <v>784.30535740020002</v>
      </c>
      <c r="M234" s="149">
        <v>771.87028978000001</v>
      </c>
      <c r="N234" s="159">
        <f t="shared" si="58"/>
        <v>4329.4393499728003</v>
      </c>
      <c r="O234" s="162">
        <f t="shared" si="61"/>
        <v>4329.4393499728003</v>
      </c>
      <c r="P234" s="163">
        <f t="shared" si="62"/>
        <v>0.56714331261059958</v>
      </c>
      <c r="Q234" s="163">
        <f t="shared" si="63"/>
        <v>0.43285668738940036</v>
      </c>
      <c r="R234" s="9">
        <f t="shared" si="59"/>
        <v>0</v>
      </c>
      <c r="S234" s="9"/>
    </row>
    <row r="235" spans="2:19" ht="13.5" customHeight="1">
      <c r="B235" s="156" t="s">
        <v>215</v>
      </c>
      <c r="C235" s="157">
        <v>8363</v>
      </c>
      <c r="D235" s="149">
        <v>1492</v>
      </c>
      <c r="E235" s="9">
        <v>-6405</v>
      </c>
      <c r="F235" s="149">
        <v>-1142</v>
      </c>
      <c r="G235" s="157">
        <f t="shared" si="60"/>
        <v>2308</v>
      </c>
      <c r="H235" s="149">
        <v>1563.9269717708335</v>
      </c>
      <c r="I235" s="159">
        <f t="shared" si="57"/>
        <v>3871.9269717708335</v>
      </c>
      <c r="J235" s="157">
        <v>347.59549513590002</v>
      </c>
      <c r="K235" s="9">
        <v>0</v>
      </c>
      <c r="L235" s="9">
        <v>2921.7577275395001</v>
      </c>
      <c r="M235" s="149">
        <v>294.56091765999997</v>
      </c>
      <c r="N235" s="159">
        <f t="shared" si="58"/>
        <v>3563.9141403354001</v>
      </c>
      <c r="O235" s="162">
        <f t="shared" si="61"/>
        <v>3563.9141403354001</v>
      </c>
      <c r="P235" s="163">
        <f t="shared" si="62"/>
        <v>0.92044973118525453</v>
      </c>
      <c r="Q235" s="163">
        <f t="shared" si="63"/>
        <v>7.9550268814745501E-2</v>
      </c>
      <c r="R235" s="9">
        <f t="shared" si="59"/>
        <v>0</v>
      </c>
      <c r="S235" s="9"/>
    </row>
    <row r="236" spans="2:19" ht="13.5" customHeight="1">
      <c r="B236" s="156" t="s">
        <v>216</v>
      </c>
      <c r="C236" s="157">
        <v>1152</v>
      </c>
      <c r="D236" s="149">
        <v>999</v>
      </c>
      <c r="E236" s="9">
        <v>-604</v>
      </c>
      <c r="F236" s="149">
        <v>-483</v>
      </c>
      <c r="G236" s="157">
        <f t="shared" si="60"/>
        <v>1064</v>
      </c>
      <c r="H236" s="149">
        <v>51.347395880924303</v>
      </c>
      <c r="I236" s="159">
        <f t="shared" si="57"/>
        <v>1115.3473958809243</v>
      </c>
      <c r="J236" s="157">
        <v>391.64802050729998</v>
      </c>
      <c r="K236" s="9">
        <v>0</v>
      </c>
      <c r="L236" s="9">
        <v>1.9663090000000001</v>
      </c>
      <c r="M236" s="149">
        <v>148.6667660178</v>
      </c>
      <c r="N236" s="159">
        <f t="shared" si="58"/>
        <v>542.2810955251</v>
      </c>
      <c r="O236" s="162">
        <f t="shared" si="61"/>
        <v>542.2810955251</v>
      </c>
      <c r="P236" s="163">
        <f t="shared" si="62"/>
        <v>0.48619927524625206</v>
      </c>
      <c r="Q236" s="163">
        <f t="shared" si="63"/>
        <v>0.51380072475374794</v>
      </c>
      <c r="R236" s="9">
        <f t="shared" si="59"/>
        <v>0</v>
      </c>
      <c r="S236" s="9"/>
    </row>
    <row r="237" spans="2:19" ht="13.5" customHeight="1">
      <c r="B237" s="156" t="s">
        <v>174</v>
      </c>
      <c r="C237" s="157">
        <v>40</v>
      </c>
      <c r="D237" s="149">
        <v>120</v>
      </c>
      <c r="E237" s="9">
        <v>-35</v>
      </c>
      <c r="F237" s="149">
        <v>-36</v>
      </c>
      <c r="G237" s="157">
        <f t="shared" si="60"/>
        <v>89</v>
      </c>
      <c r="H237" s="149">
        <v>1.5110680058185437</v>
      </c>
      <c r="I237" s="159">
        <f t="shared" si="57"/>
        <v>90.511068005818544</v>
      </c>
      <c r="J237" s="157">
        <v>86.671182709999997</v>
      </c>
      <c r="K237" s="9">
        <v>0</v>
      </c>
      <c r="L237" s="9">
        <v>3.8180000000000002E-3</v>
      </c>
      <c r="M237" s="149">
        <v>9.9999999999999995E-7</v>
      </c>
      <c r="N237" s="159">
        <f t="shared" si="58"/>
        <v>86.675001709999989</v>
      </c>
      <c r="O237" s="162">
        <f t="shared" si="61"/>
        <v>86.675001709999989</v>
      </c>
      <c r="P237" s="163">
        <f t="shared" si="62"/>
        <v>0.95761771040452259</v>
      </c>
      <c r="Q237" s="163">
        <f t="shared" si="63"/>
        <v>4.2382289595477442E-2</v>
      </c>
      <c r="R237" s="9">
        <f t="shared" si="59"/>
        <v>0</v>
      </c>
      <c r="S237" s="9"/>
    </row>
    <row r="238" spans="2:19" ht="13.5" customHeight="1">
      <c r="B238" s="156" t="s">
        <v>175</v>
      </c>
      <c r="C238" s="157">
        <v>1168</v>
      </c>
      <c r="D238" s="149">
        <v>1328</v>
      </c>
      <c r="E238" s="9">
        <v>-744</v>
      </c>
      <c r="F238" s="149">
        <v>-505</v>
      </c>
      <c r="G238" s="157">
        <f t="shared" si="60"/>
        <v>1247</v>
      </c>
      <c r="H238" s="149">
        <v>30.846385708113932</v>
      </c>
      <c r="I238" s="159">
        <f t="shared" si="57"/>
        <v>1277.846385708114</v>
      </c>
      <c r="J238" s="157">
        <v>766.46213925389998</v>
      </c>
      <c r="K238" s="9">
        <v>1.838854</v>
      </c>
      <c r="L238" s="9">
        <v>1.5015000000000001E-2</v>
      </c>
      <c r="M238" s="149">
        <v>0.5</v>
      </c>
      <c r="N238" s="159">
        <f t="shared" si="58"/>
        <v>768.81600825389989</v>
      </c>
      <c r="O238" s="162">
        <f t="shared" si="61"/>
        <v>768.81600825389989</v>
      </c>
      <c r="P238" s="163">
        <f t="shared" si="62"/>
        <v>0.60164978893598642</v>
      </c>
      <c r="Q238" s="163">
        <f t="shared" si="63"/>
        <v>0.39835021106401358</v>
      </c>
      <c r="R238" s="9">
        <f t="shared" si="59"/>
        <v>0</v>
      </c>
      <c r="S238" s="9"/>
    </row>
    <row r="239" spans="2:19" ht="13.5" customHeight="1">
      <c r="B239" s="156" t="s">
        <v>204</v>
      </c>
      <c r="C239" s="157">
        <v>38</v>
      </c>
      <c r="D239" s="149">
        <v>406</v>
      </c>
      <c r="E239" s="9">
        <v>-30</v>
      </c>
      <c r="F239" s="149">
        <v>-262</v>
      </c>
      <c r="G239" s="157">
        <f t="shared" si="60"/>
        <v>152</v>
      </c>
      <c r="H239" s="149">
        <v>179.20817409963485</v>
      </c>
      <c r="I239" s="159">
        <f t="shared" si="57"/>
        <v>331.20817409963485</v>
      </c>
      <c r="J239" s="157">
        <v>78.096490540000005</v>
      </c>
      <c r="K239" s="9">
        <v>0</v>
      </c>
      <c r="L239" s="9">
        <v>0</v>
      </c>
      <c r="M239" s="149">
        <v>0</v>
      </c>
      <c r="N239" s="159">
        <f t="shared" si="58"/>
        <v>78.096490540000005</v>
      </c>
      <c r="O239" s="162">
        <f t="shared" si="61"/>
        <v>78.096490540000005</v>
      </c>
      <c r="P239" s="163">
        <f t="shared" si="62"/>
        <v>0.23579276312337277</v>
      </c>
      <c r="Q239" s="163">
        <f t="shared" si="63"/>
        <v>0.76420723687662728</v>
      </c>
      <c r="R239" s="9">
        <f t="shared" si="59"/>
        <v>0</v>
      </c>
      <c r="S239" s="9"/>
    </row>
    <row r="240" spans="2:19" ht="13.5" customHeight="1">
      <c r="B240" s="164" t="s">
        <v>184</v>
      </c>
      <c r="C240" s="165">
        <v>895</v>
      </c>
      <c r="D240" s="166">
        <v>1391</v>
      </c>
      <c r="E240" s="167">
        <v>-636</v>
      </c>
      <c r="F240" s="166">
        <v>-422</v>
      </c>
      <c r="G240" s="165">
        <f>SUM(C240:F240)</f>
        <v>1228</v>
      </c>
      <c r="H240" s="166">
        <v>286.05490784685446</v>
      </c>
      <c r="I240" s="169">
        <f t="shared" si="57"/>
        <v>1514.0549078468543</v>
      </c>
      <c r="J240" s="165">
        <v>540.28152144850003</v>
      </c>
      <c r="K240" s="167">
        <v>0</v>
      </c>
      <c r="L240" s="167">
        <v>0</v>
      </c>
      <c r="M240" s="166">
        <v>0</v>
      </c>
      <c r="N240" s="169">
        <f t="shared" si="58"/>
        <v>540.28152144850003</v>
      </c>
      <c r="O240" s="162">
        <f t="shared" si="61"/>
        <v>540.28152144850003</v>
      </c>
      <c r="P240" s="163">
        <f t="shared" si="62"/>
        <v>0.35684407391594358</v>
      </c>
      <c r="Q240" s="163">
        <f t="shared" si="63"/>
        <v>0.64315592608405647</v>
      </c>
      <c r="R240" s="9">
        <f t="shared" si="59"/>
        <v>0</v>
      </c>
      <c r="S240" s="9"/>
    </row>
    <row r="241" spans="2:17" ht="13.5" customHeight="1" thickBot="1">
      <c r="B241" s="92" t="s">
        <v>27</v>
      </c>
      <c r="C241" s="95">
        <f t="shared" ref="C241:O241" si="64">SUM(C230:C240)</f>
        <v>65078</v>
      </c>
      <c r="D241" s="103">
        <f t="shared" si="64"/>
        <v>41359</v>
      </c>
      <c r="E241" s="109">
        <f t="shared" si="64"/>
        <v>-41498</v>
      </c>
      <c r="F241" s="96">
        <f t="shared" si="64"/>
        <v>-14942</v>
      </c>
      <c r="G241" s="102">
        <f t="shared" si="64"/>
        <v>49997</v>
      </c>
      <c r="H241" s="103">
        <f t="shared" si="64"/>
        <v>20574.054726000002</v>
      </c>
      <c r="I241" s="104">
        <f t="shared" si="64"/>
        <v>70571.054725999988</v>
      </c>
      <c r="J241" s="102">
        <f t="shared" si="64"/>
        <v>44426.877751307999</v>
      </c>
      <c r="K241" s="105">
        <f t="shared" si="64"/>
        <v>10091.086695087211</v>
      </c>
      <c r="L241" s="105">
        <f t="shared" si="64"/>
        <v>4956.7161358784006</v>
      </c>
      <c r="M241" s="103">
        <f t="shared" si="64"/>
        <v>1263.6356080677999</v>
      </c>
      <c r="N241" s="104">
        <f t="shared" si="64"/>
        <v>60738.316190341415</v>
      </c>
      <c r="O241" s="104">
        <f t="shared" si="64"/>
        <v>60738.316190341415</v>
      </c>
      <c r="P241" s="172">
        <f>O241/I241</f>
        <v>0.86066895877020289</v>
      </c>
      <c r="Q241" s="173">
        <f>(I241-O241)/I241</f>
        <v>0.13933104122979711</v>
      </c>
    </row>
    <row r="242" spans="2:17" ht="13.5" customHeight="1" thickTop="1"/>
    <row r="245" spans="2:17" ht="13.5" customHeight="1">
      <c r="B245" s="8" t="s">
        <v>189</v>
      </c>
      <c r="C245" s="9">
        <f>J241</f>
        <v>44426.877751307999</v>
      </c>
      <c r="D245" s="42" t="e">
        <f>(C245/$L$131)*100</f>
        <v>#REF!</v>
      </c>
    </row>
    <row r="246" spans="2:17" ht="13.5" customHeight="1">
      <c r="B246" s="8" t="s">
        <v>190</v>
      </c>
      <c r="C246" s="9">
        <f>K241</f>
        <v>10091.086695087211</v>
      </c>
      <c r="D246" s="42" t="e">
        <f>(C246/$L$131)*100</f>
        <v>#REF!</v>
      </c>
    </row>
    <row r="247" spans="2:17" ht="13.5" customHeight="1">
      <c r="B247" s="8" t="s">
        <v>222</v>
      </c>
      <c r="C247" s="9">
        <f>L241</f>
        <v>4956.7161358784006</v>
      </c>
      <c r="D247" s="42" t="e">
        <f>(C247/$L$131)*100</f>
        <v>#REF!</v>
      </c>
    </row>
    <row r="248" spans="2:17" ht="13.5" customHeight="1">
      <c r="B248" s="8" t="s">
        <v>197</v>
      </c>
      <c r="C248" s="9">
        <f>M241</f>
        <v>1263.6356080677999</v>
      </c>
      <c r="D248" s="42" t="e">
        <f>(C248/$L$131)*100</f>
        <v>#REF!</v>
      </c>
    </row>
    <row r="249" spans="2:17" ht="13.5" customHeight="1">
      <c r="B249" s="8" t="s">
        <v>198</v>
      </c>
      <c r="C249" s="9">
        <f>I241-N241</f>
        <v>9832.7385356585728</v>
      </c>
      <c r="D249" s="42" t="e">
        <f>((C249/$L$131)*100)+0.02</f>
        <v>#REF!</v>
      </c>
    </row>
    <row r="250" spans="2:17" ht="13.5" customHeight="1">
      <c r="C250" s="44">
        <f>SUM(C245:C249)</f>
        <v>70571.054725999988</v>
      </c>
      <c r="D250" s="144" t="e">
        <f>SUM(D245:D249)</f>
        <v>#REF!</v>
      </c>
    </row>
    <row r="252" spans="2:17" ht="13.5" customHeight="1">
      <c r="D252" s="8">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5FAC"/>
    <pageSetUpPr fitToPage="1"/>
  </sheetPr>
  <dimension ref="A1:G78"/>
  <sheetViews>
    <sheetView zoomScaleNormal="100" zoomScaleSheetLayoutView="100" workbookViewId="0">
      <selection activeCell="G26" sqref="G26"/>
    </sheetView>
  </sheetViews>
  <sheetFormatPr defaultColWidth="9.1796875" defaultRowHeight="14.5"/>
  <cols>
    <col min="1" max="1" width="44.81640625" style="198" customWidth="1"/>
    <col min="2" max="6" width="9" style="198" customWidth="1"/>
    <col min="7" max="7" width="40.26953125" style="198" customWidth="1"/>
    <col min="8" max="16384" width="9.1796875" style="198"/>
  </cols>
  <sheetData>
    <row r="1" spans="1:7" ht="27.75" customHeight="1">
      <c r="A1" s="206" t="s">
        <v>345</v>
      </c>
      <c r="B1" s="232">
        <v>0</v>
      </c>
      <c r="C1" s="232">
        <v>4</v>
      </c>
      <c r="D1" s="232">
        <v>8</v>
      </c>
      <c r="E1" s="232">
        <v>12</v>
      </c>
      <c r="F1" s="232">
        <v>16</v>
      </c>
      <c r="G1" s="196"/>
    </row>
    <row r="2" spans="1:7">
      <c r="A2" s="208" t="s">
        <v>319</v>
      </c>
      <c r="B2" s="209">
        <v>2018</v>
      </c>
      <c r="C2" s="209">
        <v>2017</v>
      </c>
      <c r="D2" s="209">
        <v>2016</v>
      </c>
      <c r="E2" s="209">
        <v>2015</v>
      </c>
      <c r="F2" s="209">
        <v>2014</v>
      </c>
      <c r="G2" s="196"/>
    </row>
    <row r="3" spans="1:7">
      <c r="A3" s="210"/>
      <c r="B3" s="211"/>
      <c r="C3" s="211"/>
      <c r="D3" s="211"/>
      <c r="E3" s="211"/>
      <c r="F3" s="211"/>
      <c r="G3" s="196"/>
    </row>
    <row r="4" spans="1:7">
      <c r="A4" s="212" t="s">
        <v>118</v>
      </c>
      <c r="B4" s="213"/>
      <c r="C4" s="213"/>
      <c r="D4" s="213"/>
      <c r="E4" s="213"/>
      <c r="F4" s="213"/>
      <c r="G4" s="196"/>
    </row>
    <row r="5" spans="1:7">
      <c r="A5" s="214" t="s">
        <v>128</v>
      </c>
      <c r="B5" s="233">
        <v>3.7442572782198688E-2</v>
      </c>
      <c r="C5" s="233">
        <v>6.5726569011723621E-2</v>
      </c>
      <c r="D5" s="233">
        <v>0.10514107949343204</v>
      </c>
      <c r="E5" s="233">
        <v>0.28083218561885598</v>
      </c>
      <c r="F5" s="233">
        <v>0.18585555051975691</v>
      </c>
      <c r="G5" s="196"/>
    </row>
    <row r="6" spans="1:7">
      <c r="A6" s="214" t="s">
        <v>129</v>
      </c>
      <c r="B6" s="233">
        <v>6.660418810571821E-3</v>
      </c>
      <c r="C6" s="233">
        <v>1.2932548418249949E-2</v>
      </c>
      <c r="D6" s="233">
        <v>2.1108986094187161E-2</v>
      </c>
      <c r="E6" s="233">
        <v>5.0347734943568832E-2</v>
      </c>
      <c r="F6" s="233">
        <v>3.0440341112502364E-2</v>
      </c>
      <c r="G6" s="196"/>
    </row>
    <row r="7" spans="1:7">
      <c r="A7" s="214" t="s">
        <v>339</v>
      </c>
      <c r="B7" s="233">
        <v>9.8560037472331091E-3</v>
      </c>
      <c r="C7" s="233">
        <v>1.9145403570873368E-2</v>
      </c>
      <c r="D7" s="233">
        <v>2.8748743788962881E-2</v>
      </c>
      <c r="E7" s="233">
        <v>6.7157145313694711E-2</v>
      </c>
      <c r="F7" s="233">
        <v>4.0049255191697206E-2</v>
      </c>
      <c r="G7" s="196"/>
    </row>
    <row r="8" spans="1:7">
      <c r="A8" s="214" t="s">
        <v>340</v>
      </c>
      <c r="B8" s="234">
        <v>3.8646821915149512</v>
      </c>
      <c r="C8" s="234">
        <v>7.1966312805047838</v>
      </c>
      <c r="D8" s="234">
        <v>10.57</v>
      </c>
      <c r="E8" s="234">
        <v>20.984000000000002</v>
      </c>
      <c r="F8" s="234">
        <v>14.231984650535136</v>
      </c>
      <c r="G8" s="196"/>
    </row>
    <row r="9" spans="1:7">
      <c r="A9" s="214" t="s">
        <v>329</v>
      </c>
      <c r="B9" s="234">
        <v>4.494839760999457</v>
      </c>
      <c r="C9" s="234">
        <v>6.991635944789083</v>
      </c>
      <c r="D9" s="234">
        <v>10.57</v>
      </c>
      <c r="E9" s="234">
        <v>20.804000000000002</v>
      </c>
      <c r="F9" s="234">
        <v>10.815546039441909</v>
      </c>
      <c r="G9" s="196"/>
    </row>
    <row r="10" spans="1:7">
      <c r="A10" s="214"/>
      <c r="B10" s="235"/>
      <c r="C10" s="235"/>
      <c r="D10" s="235"/>
      <c r="E10" s="235"/>
      <c r="F10" s="235"/>
      <c r="G10" s="196"/>
    </row>
    <row r="11" spans="1:7">
      <c r="A11" s="212" t="s">
        <v>9</v>
      </c>
      <c r="B11" s="235"/>
      <c r="C11" s="235"/>
      <c r="D11" s="235"/>
      <c r="E11" s="235"/>
      <c r="F11" s="235"/>
      <c r="G11" s="196"/>
    </row>
    <row r="12" spans="1:7" s="195" customFormat="1">
      <c r="A12" s="214" t="s">
        <v>375</v>
      </c>
      <c r="B12" s="233">
        <v>2.6937491444930659E-2</v>
      </c>
      <c r="C12" s="233">
        <v>2.8658653554314632E-2</v>
      </c>
      <c r="D12" s="233">
        <v>3.1475510550768901E-2</v>
      </c>
      <c r="E12" s="233">
        <v>3.0069122942367927E-2</v>
      </c>
      <c r="F12" s="233">
        <v>2.8382376405917387E-2</v>
      </c>
      <c r="G12" s="196"/>
    </row>
    <row r="13" spans="1:7">
      <c r="A13" s="214" t="s">
        <v>341</v>
      </c>
      <c r="B13" s="233">
        <v>2.5109530552546638E-2</v>
      </c>
      <c r="C13" s="233">
        <v>2.5939558996871413E-2</v>
      </c>
      <c r="D13" s="233">
        <v>2.9032894696504313E-2</v>
      </c>
      <c r="E13" s="233">
        <v>2.7356443859267065E-2</v>
      </c>
      <c r="F13" s="233">
        <v>2.5783006180968956E-2</v>
      </c>
      <c r="G13" s="196"/>
    </row>
    <row r="14" spans="1:7">
      <c r="A14" s="216"/>
      <c r="B14" s="233"/>
      <c r="C14" s="233"/>
      <c r="D14" s="233"/>
      <c r="E14" s="233"/>
      <c r="F14" s="233"/>
      <c r="G14" s="196"/>
    </row>
    <row r="15" spans="1:7">
      <c r="A15" s="212" t="s">
        <v>119</v>
      </c>
      <c r="B15" s="233"/>
      <c r="C15" s="233"/>
      <c r="D15" s="233"/>
      <c r="E15" s="233"/>
      <c r="F15" s="233"/>
      <c r="G15" s="196"/>
    </row>
    <row r="16" spans="1:7">
      <c r="A16" s="214" t="s">
        <v>130</v>
      </c>
      <c r="B16" s="233">
        <v>0.56914513439171777</v>
      </c>
      <c r="C16" s="233">
        <v>0.48855075865895559</v>
      </c>
      <c r="D16" s="233">
        <v>0.55989702333173763</v>
      </c>
      <c r="E16" s="233">
        <v>0.3244718035322422</v>
      </c>
      <c r="F16" s="233">
        <v>0.49400843545474238</v>
      </c>
      <c r="G16" s="196"/>
    </row>
    <row r="17" spans="1:7">
      <c r="A17" s="214" t="s">
        <v>131</v>
      </c>
      <c r="B17" s="233">
        <v>2.2505141507548707E-2</v>
      </c>
      <c r="C17" s="233">
        <v>2.0532980329704274E-2</v>
      </c>
      <c r="D17" s="233">
        <v>2.9961201573987108E-2</v>
      </c>
      <c r="E17" s="233">
        <v>2.8575686670570349E-2</v>
      </c>
      <c r="F17" s="233">
        <v>2.8787120278520335E-2</v>
      </c>
      <c r="G17" s="196"/>
    </row>
    <row r="18" spans="1:7">
      <c r="A18" s="214" t="s">
        <v>390</v>
      </c>
      <c r="B18" s="236">
        <v>904</v>
      </c>
      <c r="C18" s="236">
        <v>941</v>
      </c>
      <c r="D18" s="236">
        <v>1239</v>
      </c>
      <c r="E18" s="236">
        <v>1147</v>
      </c>
      <c r="F18" s="236">
        <v>1120</v>
      </c>
      <c r="G18" s="196"/>
    </row>
    <row r="19" spans="1:7">
      <c r="A19" s="214"/>
      <c r="B19" s="233"/>
      <c r="C19" s="233"/>
      <c r="D19" s="233"/>
      <c r="E19" s="233"/>
      <c r="F19" s="233"/>
      <c r="G19" s="196"/>
    </row>
    <row r="20" spans="1:7">
      <c r="A20" s="212" t="s">
        <v>121</v>
      </c>
      <c r="B20" s="233"/>
      <c r="C20" s="233"/>
      <c r="D20" s="233"/>
      <c r="E20" s="233"/>
      <c r="F20" s="233"/>
      <c r="G20" s="196"/>
    </row>
    <row r="21" spans="1:7">
      <c r="A21" s="214" t="s">
        <v>426</v>
      </c>
      <c r="B21" s="233">
        <v>2.5999999999999999E-2</v>
      </c>
      <c r="C21" s="233" t="s">
        <v>112</v>
      </c>
      <c r="D21" s="233" t="s">
        <v>112</v>
      </c>
      <c r="E21" s="233" t="s">
        <v>112</v>
      </c>
      <c r="F21" s="233" t="s">
        <v>112</v>
      </c>
      <c r="G21" s="196"/>
    </row>
    <row r="22" spans="1:7">
      <c r="A22" s="214" t="s">
        <v>411</v>
      </c>
      <c r="B22" s="233" t="s">
        <v>112</v>
      </c>
      <c r="C22" s="233">
        <v>9.7098291316493942E-3</v>
      </c>
      <c r="D22" s="233">
        <v>1.6422841951052331E-2</v>
      </c>
      <c r="E22" s="233">
        <v>2.5319305658822001E-2</v>
      </c>
      <c r="F22" s="233">
        <v>4.385427485034149E-2</v>
      </c>
      <c r="G22" s="196"/>
    </row>
    <row r="23" spans="1:7">
      <c r="A23" s="214" t="s">
        <v>412</v>
      </c>
      <c r="B23" s="233" t="s">
        <v>112</v>
      </c>
      <c r="C23" s="233">
        <v>0.80505556425105651</v>
      </c>
      <c r="D23" s="233">
        <v>0.77363520947947528</v>
      </c>
      <c r="E23" s="233">
        <v>0.75809973973135492</v>
      </c>
      <c r="F23" s="233">
        <v>0.62904230616752566</v>
      </c>
      <c r="G23" s="196"/>
    </row>
    <row r="24" spans="1:7">
      <c r="A24" s="214" t="s">
        <v>413</v>
      </c>
      <c r="B24" s="233" t="s">
        <v>112</v>
      </c>
      <c r="C24" s="233">
        <v>1.6479491557774947E-2</v>
      </c>
      <c r="D24" s="233">
        <v>3.2338720382973654E-2</v>
      </c>
      <c r="E24" s="233">
        <v>4.7367757276201621E-2</v>
      </c>
      <c r="F24" s="233">
        <v>5.2729341428234398E-2</v>
      </c>
      <c r="G24" s="196"/>
    </row>
    <row r="25" spans="1:7">
      <c r="A25" s="214" t="s">
        <v>414</v>
      </c>
      <c r="B25" s="233" t="s">
        <v>112</v>
      </c>
      <c r="C25" s="233">
        <v>4.202283244001713E-2</v>
      </c>
      <c r="D25" s="233">
        <v>4.9411320331242653E-2</v>
      </c>
      <c r="E25" s="233">
        <v>6.2115005009274596E-2</v>
      </c>
      <c r="F25" s="233">
        <v>7.1613296263225643E-2</v>
      </c>
      <c r="G25" s="196"/>
    </row>
    <row r="26" spans="1:7">
      <c r="A26" s="214" t="s">
        <v>35</v>
      </c>
      <c r="B26" s="233">
        <v>0.68417169570436176</v>
      </c>
      <c r="C26" s="233">
        <v>0.66805954992162397</v>
      </c>
      <c r="D26" s="233">
        <v>0.7271231209751724</v>
      </c>
      <c r="E26" s="233">
        <v>0.79908655264680195</v>
      </c>
      <c r="F26" s="233">
        <v>0.7454042932064997</v>
      </c>
      <c r="G26" s="196"/>
    </row>
    <row r="27" spans="1:7">
      <c r="A27" s="214"/>
      <c r="B27" s="233"/>
      <c r="C27" s="233"/>
      <c r="D27" s="233"/>
      <c r="E27" s="233"/>
      <c r="F27" s="233"/>
      <c r="G27" s="196"/>
    </row>
    <row r="28" spans="1:7">
      <c r="A28" s="212" t="s">
        <v>124</v>
      </c>
      <c r="B28" s="233"/>
      <c r="C28" s="233"/>
      <c r="D28" s="233"/>
      <c r="E28" s="233"/>
      <c r="F28" s="233"/>
      <c r="G28" s="196"/>
    </row>
    <row r="29" spans="1:7">
      <c r="A29" s="214" t="s">
        <v>125</v>
      </c>
      <c r="B29" s="233">
        <v>0.17251097911472635</v>
      </c>
      <c r="C29" s="233">
        <v>0.19667369148847133</v>
      </c>
      <c r="D29" s="233">
        <v>0.20403299168185224</v>
      </c>
      <c r="E29" s="233">
        <v>0.19968930956556039</v>
      </c>
      <c r="F29" s="233">
        <v>0.17372359453180983</v>
      </c>
      <c r="G29" s="196"/>
    </row>
    <row r="30" spans="1:7">
      <c r="A30" s="216"/>
      <c r="B30" s="233"/>
      <c r="C30" s="233"/>
      <c r="D30" s="233"/>
      <c r="E30" s="233"/>
      <c r="F30" s="233"/>
      <c r="G30" s="196"/>
    </row>
    <row r="31" spans="1:7">
      <c r="A31" s="212" t="s">
        <v>120</v>
      </c>
      <c r="B31" s="233"/>
      <c r="C31" s="233"/>
      <c r="D31" s="233"/>
      <c r="E31" s="233"/>
      <c r="F31" s="233"/>
      <c r="G31" s="196"/>
    </row>
    <row r="32" spans="1:7">
      <c r="A32" s="214" t="s">
        <v>317</v>
      </c>
      <c r="B32" s="233">
        <v>1.6439259514287985</v>
      </c>
      <c r="C32" s="233">
        <v>2.2095493666662032</v>
      </c>
      <c r="D32" s="233">
        <v>1.7129474384564205</v>
      </c>
      <c r="E32" s="233">
        <v>1.3449343096017032</v>
      </c>
      <c r="F32" s="233">
        <v>1.74</v>
      </c>
      <c r="G32" s="196"/>
    </row>
    <row r="33" spans="1:7">
      <c r="A33" s="214" t="s">
        <v>43</v>
      </c>
      <c r="B33" s="233">
        <v>1.7890685570924654</v>
      </c>
      <c r="C33" s="233">
        <v>1.6554851952761043</v>
      </c>
      <c r="D33" s="233">
        <v>1.728913690280711</v>
      </c>
      <c r="E33" s="233">
        <v>1.4495665301964942</v>
      </c>
      <c r="F33" s="233">
        <v>1.4231803750695444</v>
      </c>
      <c r="G33" s="196"/>
    </row>
    <row r="34" spans="1:7">
      <c r="A34" s="214" t="s">
        <v>241</v>
      </c>
      <c r="B34" s="233">
        <v>1.3571374215373928</v>
      </c>
      <c r="C34" s="233">
        <v>1.2898551837005994</v>
      </c>
      <c r="D34" s="233">
        <v>1.337525063801116</v>
      </c>
      <c r="E34" s="233">
        <v>1.1596960114563803</v>
      </c>
      <c r="F34" s="233">
        <v>1.1395193658755816</v>
      </c>
      <c r="G34" s="196"/>
    </row>
    <row r="35" spans="1:7">
      <c r="A35" s="214" t="s">
        <v>122</v>
      </c>
      <c r="B35" s="233">
        <v>0.52188333516226337</v>
      </c>
      <c r="C35" s="233">
        <v>0.54083341427422937</v>
      </c>
      <c r="D35" s="233">
        <v>0.53897165578852357</v>
      </c>
      <c r="E35" s="233">
        <v>0.67395643371002711</v>
      </c>
      <c r="F35" s="233">
        <v>0.64363298900234556</v>
      </c>
      <c r="G35" s="196"/>
    </row>
    <row r="36" spans="1:7">
      <c r="A36" s="214" t="s">
        <v>123</v>
      </c>
      <c r="B36" s="233">
        <v>0.22541638019649426</v>
      </c>
      <c r="C36" s="233">
        <v>0.19774543522602403</v>
      </c>
      <c r="D36" s="233">
        <v>0.21094921062613628</v>
      </c>
      <c r="E36" s="233">
        <v>0.19535905572866558</v>
      </c>
      <c r="F36" s="233">
        <v>0.18257464512971119</v>
      </c>
      <c r="G36" s="196"/>
    </row>
    <row r="37" spans="1:7">
      <c r="A37" s="217"/>
      <c r="B37" s="233"/>
      <c r="C37" s="233"/>
      <c r="D37" s="233"/>
      <c r="E37" s="233"/>
      <c r="F37" s="233"/>
      <c r="G37" s="196"/>
    </row>
    <row r="38" spans="1:7">
      <c r="A38" s="212" t="s">
        <v>342</v>
      </c>
      <c r="B38" s="237"/>
      <c r="C38" s="237"/>
      <c r="D38" s="237"/>
      <c r="E38" s="237"/>
      <c r="F38" s="237"/>
      <c r="G38" s="196"/>
    </row>
    <row r="39" spans="1:7">
      <c r="A39" s="214" t="s">
        <v>402</v>
      </c>
      <c r="B39" s="233">
        <v>0.2118945842098722</v>
      </c>
      <c r="C39" s="233">
        <v>0.23557973207019595</v>
      </c>
      <c r="D39" s="233">
        <v>0.26511788899580446</v>
      </c>
      <c r="E39" s="233">
        <v>0.223</v>
      </c>
      <c r="F39" s="233">
        <v>0.216</v>
      </c>
      <c r="G39" s="196"/>
    </row>
    <row r="40" spans="1:7">
      <c r="A40" s="214" t="s">
        <v>102</v>
      </c>
      <c r="B40" s="233">
        <v>0.21199999999999999</v>
      </c>
      <c r="C40" s="233">
        <v>0.23599999999999999</v>
      </c>
      <c r="D40" s="233">
        <v>0.26600000000000001</v>
      </c>
      <c r="E40" s="233">
        <v>0.23400000000000001</v>
      </c>
      <c r="F40" s="233">
        <v>0.218</v>
      </c>
      <c r="G40" s="196"/>
    </row>
    <row r="41" spans="1:7">
      <c r="A41" s="214" t="s">
        <v>111</v>
      </c>
      <c r="B41" s="233">
        <v>8.1994060337635399E-3</v>
      </c>
      <c r="C41" s="233">
        <v>4.0000000000000001E-3</v>
      </c>
      <c r="D41" s="233">
        <v>6.0000000000000001E-3</v>
      </c>
      <c r="E41" s="233">
        <v>8.0000000000000002E-3</v>
      </c>
      <c r="F41" s="233">
        <v>4.4999999999999998E-2</v>
      </c>
      <c r="G41" s="196"/>
    </row>
    <row r="42" spans="1:7">
      <c r="A42" s="214" t="s">
        <v>389</v>
      </c>
      <c r="B42" s="233">
        <v>0.22019940603376353</v>
      </c>
      <c r="C42" s="233">
        <v>0.24</v>
      </c>
      <c r="D42" s="233">
        <v>0.27200000000000002</v>
      </c>
      <c r="E42" s="233">
        <v>0.24200000000000002</v>
      </c>
      <c r="F42" s="233">
        <v>0.26300000000000001</v>
      </c>
      <c r="G42" s="196"/>
    </row>
    <row r="43" spans="1:7">
      <c r="A43" s="214" t="s">
        <v>369</v>
      </c>
      <c r="B43" s="233">
        <v>0.14187019411191343</v>
      </c>
      <c r="C43" s="233">
        <v>0.15356026052820931</v>
      </c>
      <c r="D43" s="233">
        <v>0.17981890373204296</v>
      </c>
      <c r="E43" s="233">
        <v>0.16746585918578816</v>
      </c>
      <c r="F43" s="233">
        <v>0.15437919434088676</v>
      </c>
      <c r="G43" s="196"/>
    </row>
    <row r="44" spans="1:7">
      <c r="A44" s="217"/>
      <c r="B44" s="217"/>
      <c r="C44" s="217"/>
      <c r="D44" s="217"/>
      <c r="E44" s="217"/>
      <c r="F44" s="217"/>
      <c r="G44" s="196"/>
    </row>
    <row r="45" spans="1:7">
      <c r="A45" s="219" t="s">
        <v>427</v>
      </c>
      <c r="B45" s="217"/>
      <c r="C45" s="217"/>
      <c r="D45" s="217"/>
      <c r="E45" s="217"/>
      <c r="F45" s="217"/>
      <c r="G45" s="196"/>
    </row>
    <row r="46" spans="1:7">
      <c r="A46" s="219" t="s">
        <v>415</v>
      </c>
      <c r="B46" s="217"/>
      <c r="C46" s="217"/>
      <c r="D46" s="217"/>
      <c r="E46" s="217"/>
      <c r="F46" s="217"/>
      <c r="G46" s="196"/>
    </row>
    <row r="47" spans="1:7">
      <c r="A47" s="196"/>
      <c r="B47" s="196"/>
      <c r="C47" s="196"/>
      <c r="D47" s="196"/>
      <c r="E47" s="196"/>
      <c r="F47" s="196"/>
      <c r="G47" s="196"/>
    </row>
    <row r="48" spans="1:7">
      <c r="A48" s="196"/>
      <c r="B48" s="196"/>
      <c r="C48" s="196"/>
      <c r="D48" s="196"/>
      <c r="E48" s="196"/>
      <c r="F48" s="196"/>
      <c r="G48" s="196"/>
    </row>
    <row r="49" spans="1:7">
      <c r="A49" s="196"/>
      <c r="B49" s="196"/>
      <c r="C49" s="196"/>
      <c r="D49" s="196"/>
      <c r="E49" s="196"/>
      <c r="F49" s="196"/>
      <c r="G49" s="196"/>
    </row>
    <row r="50" spans="1:7">
      <c r="A50" s="196"/>
      <c r="B50" s="196"/>
      <c r="C50" s="196"/>
      <c r="D50" s="196"/>
      <c r="E50" s="196"/>
      <c r="F50" s="196"/>
      <c r="G50" s="196"/>
    </row>
    <row r="51" spans="1:7">
      <c r="A51" s="196"/>
      <c r="B51" s="196"/>
      <c r="C51" s="196"/>
      <c r="D51" s="196"/>
      <c r="E51" s="196"/>
      <c r="F51" s="196"/>
      <c r="G51" s="196"/>
    </row>
    <row r="52" spans="1:7">
      <c r="A52" s="196"/>
      <c r="B52" s="196"/>
      <c r="C52" s="196"/>
      <c r="D52" s="196"/>
      <c r="E52" s="196"/>
      <c r="F52" s="196"/>
      <c r="G52" s="196"/>
    </row>
    <row r="53" spans="1:7">
      <c r="A53" s="196"/>
      <c r="B53" s="196"/>
      <c r="C53" s="196"/>
      <c r="D53" s="196"/>
      <c r="E53" s="196"/>
      <c r="F53" s="196"/>
    </row>
    <row r="54" spans="1:7">
      <c r="A54" s="196"/>
      <c r="B54" s="196"/>
      <c r="C54" s="196"/>
      <c r="D54" s="196"/>
      <c r="E54" s="196"/>
      <c r="F54" s="196"/>
    </row>
    <row r="55" spans="1:7">
      <c r="A55" s="196"/>
      <c r="B55" s="196"/>
      <c r="C55" s="196"/>
      <c r="D55" s="196"/>
      <c r="E55" s="196"/>
      <c r="F55" s="196"/>
    </row>
    <row r="56" spans="1:7">
      <c r="A56" s="196"/>
      <c r="B56" s="196"/>
      <c r="C56" s="196"/>
      <c r="D56" s="196"/>
      <c r="E56" s="196"/>
      <c r="F56" s="196"/>
    </row>
    <row r="57" spans="1:7">
      <c r="A57" s="196"/>
      <c r="B57" s="196"/>
      <c r="C57" s="196"/>
      <c r="D57" s="196"/>
      <c r="E57" s="196"/>
      <c r="F57" s="196"/>
    </row>
    <row r="58" spans="1:7">
      <c r="A58" s="196"/>
      <c r="B58" s="196"/>
      <c r="C58" s="196"/>
      <c r="D58" s="196"/>
      <c r="E58" s="196"/>
      <c r="F58" s="196"/>
    </row>
    <row r="59" spans="1:7">
      <c r="A59" s="196"/>
      <c r="B59" s="196"/>
      <c r="C59" s="196"/>
      <c r="D59" s="196"/>
      <c r="E59" s="196"/>
      <c r="F59" s="196"/>
    </row>
    <row r="60" spans="1:7">
      <c r="A60" s="196"/>
      <c r="B60" s="196"/>
      <c r="C60" s="196"/>
      <c r="D60" s="196"/>
      <c r="E60" s="196"/>
      <c r="F60" s="196"/>
    </row>
    <row r="61" spans="1:7">
      <c r="A61" s="196"/>
      <c r="B61" s="196"/>
      <c r="C61" s="196"/>
      <c r="D61" s="196"/>
      <c r="E61" s="196"/>
      <c r="F61" s="196"/>
    </row>
    <row r="62" spans="1:7">
      <c r="A62" s="196"/>
      <c r="B62" s="196"/>
      <c r="C62" s="196"/>
      <c r="D62" s="196"/>
      <c r="E62" s="196"/>
      <c r="F62" s="196"/>
    </row>
    <row r="63" spans="1:7">
      <c r="A63" s="196"/>
      <c r="B63" s="196"/>
      <c r="C63" s="196"/>
      <c r="D63" s="196"/>
      <c r="E63" s="196"/>
      <c r="F63" s="196"/>
    </row>
    <row r="64" spans="1:7">
      <c r="A64" s="196"/>
      <c r="B64" s="196"/>
      <c r="C64" s="196"/>
      <c r="D64" s="196"/>
      <c r="E64" s="196"/>
      <c r="F64" s="196"/>
    </row>
    <row r="65" spans="1:6">
      <c r="A65" s="196"/>
      <c r="B65" s="196"/>
      <c r="C65" s="196"/>
      <c r="D65" s="196"/>
      <c r="E65" s="196"/>
      <c r="F65" s="196"/>
    </row>
    <row r="66" spans="1:6">
      <c r="A66" s="196"/>
      <c r="B66" s="196"/>
      <c r="C66" s="196"/>
      <c r="D66" s="196"/>
      <c r="E66" s="196"/>
      <c r="F66" s="196"/>
    </row>
    <row r="67" spans="1:6">
      <c r="A67" s="196"/>
      <c r="B67" s="196"/>
      <c r="C67" s="196"/>
      <c r="D67" s="196"/>
      <c r="E67" s="196"/>
      <c r="F67" s="196"/>
    </row>
    <row r="68" spans="1:6">
      <c r="A68" s="196"/>
      <c r="B68" s="196"/>
      <c r="C68" s="196"/>
      <c r="D68" s="196"/>
      <c r="E68" s="196"/>
      <c r="F68" s="196"/>
    </row>
    <row r="69" spans="1:6">
      <c r="A69" s="196"/>
      <c r="B69" s="196"/>
      <c r="C69" s="196"/>
      <c r="D69" s="196"/>
      <c r="E69" s="196"/>
      <c r="F69" s="196"/>
    </row>
    <row r="70" spans="1:6">
      <c r="A70" s="196"/>
      <c r="B70" s="196"/>
      <c r="C70" s="196"/>
      <c r="D70" s="196"/>
      <c r="E70" s="196"/>
      <c r="F70" s="196"/>
    </row>
    <row r="71" spans="1:6">
      <c r="A71" s="196"/>
      <c r="B71" s="196"/>
      <c r="C71" s="196"/>
      <c r="D71" s="196"/>
      <c r="E71" s="196"/>
      <c r="F71" s="196"/>
    </row>
    <row r="72" spans="1:6">
      <c r="A72" s="196"/>
      <c r="B72" s="196"/>
      <c r="C72" s="196"/>
      <c r="D72" s="196"/>
      <c r="E72" s="196"/>
      <c r="F72" s="196"/>
    </row>
    <row r="73" spans="1:6">
      <c r="A73" s="196"/>
      <c r="B73" s="196"/>
      <c r="C73" s="196"/>
      <c r="D73" s="196"/>
      <c r="E73" s="196"/>
      <c r="F73" s="196"/>
    </row>
    <row r="74" spans="1:6">
      <c r="A74" s="196"/>
      <c r="B74" s="196"/>
      <c r="C74" s="196"/>
      <c r="D74" s="196"/>
      <c r="E74" s="196"/>
      <c r="F74" s="196"/>
    </row>
    <row r="75" spans="1:6">
      <c r="A75" s="196"/>
      <c r="B75" s="196"/>
      <c r="C75" s="196"/>
      <c r="D75" s="196"/>
      <c r="E75" s="196"/>
      <c r="F75" s="196"/>
    </row>
    <row r="76" spans="1:6">
      <c r="A76" s="196"/>
      <c r="B76" s="196"/>
      <c r="C76" s="196"/>
      <c r="D76" s="196"/>
      <c r="E76" s="196"/>
      <c r="F76" s="196"/>
    </row>
    <row r="77" spans="1:6">
      <c r="A77" s="196"/>
      <c r="B77" s="196"/>
      <c r="C77" s="196"/>
      <c r="D77" s="196"/>
      <c r="E77" s="196"/>
      <c r="F77" s="196"/>
    </row>
    <row r="78" spans="1:6">
      <c r="A78" s="196"/>
      <c r="B78" s="196"/>
      <c r="C78" s="196"/>
      <c r="D78" s="196"/>
      <c r="E78" s="196"/>
      <c r="F78" s="19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31.12.2018&amp;C&amp;8&amp;P&amp;R&amp;8______________________________________________________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FAC"/>
    <pageSetUpPr fitToPage="1"/>
  </sheetPr>
  <dimension ref="A1:L49"/>
  <sheetViews>
    <sheetView zoomScaleNormal="100" workbookViewId="0">
      <selection activeCell="B15" sqref="B15"/>
    </sheetView>
  </sheetViews>
  <sheetFormatPr defaultColWidth="9.1796875" defaultRowHeight="14"/>
  <cols>
    <col min="1" max="1" width="51" style="217" bestFit="1" customWidth="1"/>
    <col min="2" max="16384" width="9.1796875" style="217"/>
  </cols>
  <sheetData>
    <row r="1" spans="1:12" ht="27.75" customHeight="1">
      <c r="A1" s="206" t="s">
        <v>332</v>
      </c>
      <c r="B1" s="232">
        <v>0</v>
      </c>
      <c r="C1" s="232">
        <v>4</v>
      </c>
      <c r="D1" s="232">
        <v>8</v>
      </c>
      <c r="E1" s="232">
        <v>12</v>
      </c>
      <c r="F1" s="232">
        <v>16</v>
      </c>
    </row>
    <row r="2" spans="1:12">
      <c r="A2" s="208" t="s">
        <v>319</v>
      </c>
      <c r="B2" s="209">
        <v>2018</v>
      </c>
      <c r="C2" s="209">
        <v>2017</v>
      </c>
      <c r="D2" s="209">
        <v>2016</v>
      </c>
      <c r="E2" s="209">
        <v>2015</v>
      </c>
      <c r="F2" s="209">
        <v>2014</v>
      </c>
    </row>
    <row r="3" spans="1:12">
      <c r="A3" s="210"/>
      <c r="B3" s="211"/>
      <c r="C3" s="211"/>
      <c r="D3" s="211"/>
      <c r="E3" s="211"/>
      <c r="F3" s="211"/>
    </row>
    <row r="4" spans="1:12">
      <c r="A4" s="214" t="s">
        <v>83</v>
      </c>
      <c r="B4" s="235">
        <v>59316</v>
      </c>
      <c r="C4" s="235">
        <v>56028</v>
      </c>
      <c r="D4" s="235">
        <v>61655</v>
      </c>
      <c r="E4" s="235">
        <v>54546</v>
      </c>
      <c r="F4" s="235">
        <v>50871</v>
      </c>
    </row>
    <row r="5" spans="1:12">
      <c r="A5" s="214" t="s">
        <v>84</v>
      </c>
      <c r="B5" s="238">
        <v>-29997</v>
      </c>
      <c r="C5" s="238">
        <v>-27108</v>
      </c>
      <c r="D5" s="238">
        <v>-31755</v>
      </c>
      <c r="E5" s="238">
        <v>-27554</v>
      </c>
      <c r="F5" s="238">
        <v>-26651</v>
      </c>
    </row>
    <row r="6" spans="1:12">
      <c r="A6" s="212" t="s">
        <v>0</v>
      </c>
      <c r="B6" s="252">
        <v>29319</v>
      </c>
      <c r="C6" s="252">
        <v>28920</v>
      </c>
      <c r="D6" s="252">
        <v>29900</v>
      </c>
      <c r="E6" s="252">
        <v>26992</v>
      </c>
      <c r="F6" s="252">
        <v>24220</v>
      </c>
    </row>
    <row r="7" spans="1:12">
      <c r="A7" s="214" t="s">
        <v>321</v>
      </c>
      <c r="B7" s="235">
        <v>11658</v>
      </c>
      <c r="C7" s="235">
        <v>11619</v>
      </c>
      <c r="D7" s="235">
        <v>23892</v>
      </c>
      <c r="E7" s="235">
        <v>21235</v>
      </c>
      <c r="F7" s="235">
        <v>18447</v>
      </c>
    </row>
    <row r="8" spans="1:12">
      <c r="A8" s="214" t="s">
        <v>322</v>
      </c>
      <c r="B8" s="238">
        <v>-1308</v>
      </c>
      <c r="C8" s="238">
        <v>-1408</v>
      </c>
      <c r="D8" s="238">
        <v>-9914</v>
      </c>
      <c r="E8" s="238">
        <v>-6751</v>
      </c>
      <c r="F8" s="238">
        <v>-5138</v>
      </c>
    </row>
    <row r="9" spans="1:12">
      <c r="A9" s="212" t="s">
        <v>320</v>
      </c>
      <c r="B9" s="252">
        <v>10350</v>
      </c>
      <c r="C9" s="252">
        <v>10211</v>
      </c>
      <c r="D9" s="252">
        <v>13978</v>
      </c>
      <c r="E9" s="252">
        <v>14484</v>
      </c>
      <c r="F9" s="252">
        <v>13309</v>
      </c>
    </row>
    <row r="10" spans="1:12">
      <c r="A10" s="214" t="s">
        <v>2</v>
      </c>
      <c r="B10" s="235">
        <v>2302</v>
      </c>
      <c r="C10" s="235">
        <v>4045</v>
      </c>
      <c r="D10" s="235">
        <v>5162</v>
      </c>
      <c r="E10" s="235">
        <v>12844</v>
      </c>
      <c r="F10" s="235">
        <v>7290</v>
      </c>
    </row>
    <row r="11" spans="1:12">
      <c r="A11" s="214" t="s">
        <v>400</v>
      </c>
      <c r="B11" s="235">
        <v>2589</v>
      </c>
      <c r="C11" s="235">
        <v>2093</v>
      </c>
      <c r="D11" s="235">
        <v>1394.7445339999999</v>
      </c>
      <c r="E11" s="235">
        <v>759.84139299999993</v>
      </c>
      <c r="F11" s="235">
        <v>663.52590099999998</v>
      </c>
    </row>
    <row r="12" spans="1:12">
      <c r="A12" s="214" t="s">
        <v>394</v>
      </c>
      <c r="B12" s="235">
        <v>27</v>
      </c>
      <c r="C12" s="235">
        <v>-927</v>
      </c>
      <c r="D12" s="235">
        <v>908</v>
      </c>
      <c r="E12" s="235">
        <v>29466</v>
      </c>
      <c r="F12" s="235">
        <v>3497.9839080000002</v>
      </c>
    </row>
    <row r="13" spans="1:12">
      <c r="A13" s="214" t="s">
        <v>10</v>
      </c>
      <c r="B13" s="238">
        <v>1584</v>
      </c>
      <c r="C13" s="238">
        <v>2521</v>
      </c>
      <c r="D13" s="238">
        <v>3203</v>
      </c>
      <c r="E13" s="238">
        <v>2074</v>
      </c>
      <c r="F13" s="238">
        <v>5347</v>
      </c>
    </row>
    <row r="14" spans="1:12">
      <c r="A14" s="212" t="s">
        <v>425</v>
      </c>
      <c r="B14" s="252">
        <v>6502</v>
      </c>
      <c r="C14" s="252">
        <v>7732</v>
      </c>
      <c r="D14" s="252">
        <v>10667.744533999999</v>
      </c>
      <c r="E14" s="252">
        <v>45143.841393000002</v>
      </c>
      <c r="F14" s="252">
        <v>16798.509808999999</v>
      </c>
    </row>
    <row r="15" spans="1:12">
      <c r="A15" s="212" t="s">
        <v>4</v>
      </c>
      <c r="B15" s="254">
        <v>46171</v>
      </c>
      <c r="C15" s="254">
        <v>46863</v>
      </c>
      <c r="D15" s="254">
        <v>54545.744533999998</v>
      </c>
      <c r="E15" s="254">
        <v>86619.84139300001</v>
      </c>
      <c r="F15" s="254">
        <v>54327.509808999996</v>
      </c>
      <c r="G15" s="221"/>
      <c r="H15" s="221"/>
      <c r="I15" s="221"/>
      <c r="J15" s="221"/>
      <c r="K15" s="221"/>
    </row>
    <row r="16" spans="1:12" ht="18" customHeight="1">
      <c r="A16" s="214" t="s">
        <v>318</v>
      </c>
      <c r="B16" s="235">
        <v>-14278</v>
      </c>
      <c r="C16" s="235">
        <v>-13602</v>
      </c>
      <c r="D16" s="235">
        <v>-16659</v>
      </c>
      <c r="E16" s="235">
        <v>-14892</v>
      </c>
      <c r="F16" s="235">
        <v>-13979</v>
      </c>
      <c r="G16" s="221"/>
      <c r="H16" s="221"/>
      <c r="I16" s="221"/>
      <c r="J16" s="221"/>
      <c r="K16" s="221"/>
      <c r="L16" s="221"/>
    </row>
    <row r="17" spans="1:9">
      <c r="A17" s="214" t="s">
        <v>6</v>
      </c>
      <c r="B17" s="238">
        <v>-12000</v>
      </c>
      <c r="C17" s="238">
        <v>-9291</v>
      </c>
      <c r="D17" s="238">
        <v>-13881</v>
      </c>
      <c r="E17" s="238">
        <v>-12919</v>
      </c>
      <c r="F17" s="238">
        <v>-12722</v>
      </c>
    </row>
    <row r="18" spans="1:9">
      <c r="A18" s="212" t="s">
        <v>286</v>
      </c>
      <c r="B18" s="252">
        <v>-26278</v>
      </c>
      <c r="C18" s="252">
        <v>-22893</v>
      </c>
      <c r="D18" s="252">
        <v>-30540</v>
      </c>
      <c r="E18" s="252">
        <v>-27811</v>
      </c>
      <c r="F18" s="252">
        <v>-26701</v>
      </c>
    </row>
    <row r="19" spans="1:9">
      <c r="A19" s="214" t="s">
        <v>41</v>
      </c>
      <c r="B19" s="235">
        <v>-3386</v>
      </c>
      <c r="C19" s="235">
        <v>-3172</v>
      </c>
      <c r="D19" s="235">
        <v>-2872</v>
      </c>
      <c r="E19" s="235">
        <v>-2818</v>
      </c>
      <c r="F19" s="235">
        <v>-2643</v>
      </c>
    </row>
    <row r="20" spans="1:9">
      <c r="A20" s="214" t="s">
        <v>323</v>
      </c>
      <c r="B20" s="238">
        <v>-3525</v>
      </c>
      <c r="C20" s="238">
        <v>312</v>
      </c>
      <c r="D20" s="238">
        <v>7236</v>
      </c>
      <c r="E20" s="238">
        <v>-3087</v>
      </c>
      <c r="F20" s="238">
        <v>2135</v>
      </c>
    </row>
    <row r="21" spans="1:9">
      <c r="A21" s="212" t="s">
        <v>324</v>
      </c>
      <c r="B21" s="253">
        <v>12982</v>
      </c>
      <c r="C21" s="253">
        <v>21110</v>
      </c>
      <c r="D21" s="253">
        <v>28369.744533999998</v>
      </c>
      <c r="E21" s="253">
        <v>52903.84139300001</v>
      </c>
      <c r="F21" s="253">
        <v>27118.509808999996</v>
      </c>
      <c r="G21" s="221"/>
    </row>
    <row r="22" spans="1:9" ht="18" customHeight="1">
      <c r="A22" s="214" t="s">
        <v>403</v>
      </c>
      <c r="B22" s="238">
        <v>-4046</v>
      </c>
      <c r="C22" s="238">
        <v>-5966</v>
      </c>
      <c r="D22" s="238">
        <v>-6631</v>
      </c>
      <c r="E22" s="238">
        <v>-3225</v>
      </c>
      <c r="F22" s="238">
        <v>-4815</v>
      </c>
    </row>
    <row r="23" spans="1:9" s="223" customFormat="1">
      <c r="A23" s="212" t="s">
        <v>325</v>
      </c>
      <c r="B23" s="253">
        <v>8936</v>
      </c>
      <c r="C23" s="253">
        <v>15144</v>
      </c>
      <c r="D23" s="253">
        <v>21738.744533999998</v>
      </c>
      <c r="E23" s="253">
        <v>49678.84139300001</v>
      </c>
      <c r="F23" s="253">
        <v>22303.509808999996</v>
      </c>
      <c r="G23" s="222"/>
    </row>
    <row r="24" spans="1:9">
      <c r="A24" s="214" t="s">
        <v>326</v>
      </c>
      <c r="B24" s="238">
        <v>-1159</v>
      </c>
      <c r="C24" s="238">
        <v>-725</v>
      </c>
      <c r="D24" s="238">
        <v>0</v>
      </c>
      <c r="E24" s="238">
        <v>0</v>
      </c>
      <c r="F24" s="238">
        <v>6290</v>
      </c>
    </row>
    <row r="25" spans="1:9">
      <c r="A25" s="212" t="s">
        <v>8</v>
      </c>
      <c r="B25" s="253">
        <v>7777</v>
      </c>
      <c r="C25" s="253">
        <v>14419</v>
      </c>
      <c r="D25" s="253">
        <v>21738.744533999998</v>
      </c>
      <c r="E25" s="253">
        <v>49678.84139300001</v>
      </c>
      <c r="F25" s="253">
        <v>28593.509808999996</v>
      </c>
    </row>
    <row r="26" spans="1:9" ht="1.5" customHeight="1">
      <c r="A26" s="212"/>
      <c r="B26" s="239"/>
      <c r="C26" s="239"/>
      <c r="D26" s="239"/>
      <c r="E26" s="239"/>
      <c r="F26" s="239"/>
    </row>
    <row r="27" spans="1:9">
      <c r="A27" s="225"/>
      <c r="B27" s="235"/>
      <c r="C27" s="235"/>
      <c r="D27" s="235"/>
      <c r="E27" s="235"/>
      <c r="F27" s="235"/>
      <c r="I27" s="221"/>
    </row>
    <row r="28" spans="1:9">
      <c r="A28" s="212" t="s">
        <v>327</v>
      </c>
      <c r="B28" s="235"/>
      <c r="C28" s="235"/>
      <c r="D28" s="235"/>
      <c r="E28" s="235"/>
      <c r="F28" s="235"/>
    </row>
    <row r="29" spans="1:9">
      <c r="A29" s="214" t="s">
        <v>96</v>
      </c>
      <c r="B29" s="235">
        <f>+B25-B30</f>
        <v>7116</v>
      </c>
      <c r="C29" s="235">
        <v>14400</v>
      </c>
      <c r="D29" s="235">
        <v>21146.744533999998</v>
      </c>
      <c r="E29" s="235">
        <v>41967.84139300001</v>
      </c>
      <c r="F29" s="235">
        <v>28464.509808999996</v>
      </c>
    </row>
    <row r="30" spans="1:9">
      <c r="A30" s="214" t="s">
        <v>328</v>
      </c>
      <c r="B30" s="238">
        <v>661</v>
      </c>
      <c r="C30" s="238">
        <v>19</v>
      </c>
      <c r="D30" s="238">
        <v>592</v>
      </c>
      <c r="E30" s="238">
        <v>7711</v>
      </c>
      <c r="F30" s="238">
        <v>129</v>
      </c>
    </row>
    <row r="31" spans="1:9">
      <c r="A31" s="212" t="s">
        <v>8</v>
      </c>
      <c r="B31" s="253">
        <v>7777</v>
      </c>
      <c r="C31" s="253">
        <v>14419</v>
      </c>
      <c r="D31" s="253">
        <v>21738.744533999998</v>
      </c>
      <c r="E31" s="253">
        <v>49678.84139300001</v>
      </c>
      <c r="F31" s="253">
        <v>28593.509808999996</v>
      </c>
      <c r="G31" s="221"/>
    </row>
    <row r="32" spans="1:9" ht="1.5" customHeight="1">
      <c r="A32" s="212"/>
      <c r="B32" s="239"/>
      <c r="C32" s="239"/>
      <c r="D32" s="239"/>
      <c r="E32" s="239"/>
      <c r="F32" s="239"/>
    </row>
    <row r="33" spans="1:6">
      <c r="A33" s="212"/>
      <c r="B33" s="235"/>
      <c r="C33" s="235"/>
      <c r="D33" s="235"/>
      <c r="E33" s="235"/>
      <c r="F33" s="235"/>
    </row>
    <row r="34" spans="1:6">
      <c r="A34" s="212" t="s">
        <v>329</v>
      </c>
      <c r="B34" s="235"/>
      <c r="C34" s="235"/>
      <c r="D34" s="235"/>
      <c r="E34" s="235"/>
      <c r="F34" s="235"/>
    </row>
    <row r="35" spans="1:6">
      <c r="A35" s="214" t="s">
        <v>330</v>
      </c>
      <c r="B35" s="235"/>
      <c r="C35" s="235"/>
      <c r="D35" s="235"/>
      <c r="E35" s="235"/>
      <c r="F35" s="235"/>
    </row>
    <row r="36" spans="1:6">
      <c r="A36" s="214" t="s">
        <v>331</v>
      </c>
      <c r="B36" s="240">
        <v>4.494839760999457</v>
      </c>
      <c r="C36" s="240">
        <v>7.5625</v>
      </c>
      <c r="D36" s="240">
        <v>10.573372266999998</v>
      </c>
      <c r="E36" s="240">
        <v>20.983920696500004</v>
      </c>
      <c r="F36" s="240">
        <v>11.087254904499998</v>
      </c>
    </row>
    <row r="40" spans="1:6">
      <c r="A40" s="212"/>
      <c r="B40" s="213"/>
      <c r="C40" s="213"/>
      <c r="D40" s="213"/>
      <c r="E40" s="213"/>
      <c r="F40" s="213"/>
    </row>
    <row r="41" spans="1:6">
      <c r="B41" s="213"/>
      <c r="C41" s="213"/>
      <c r="D41" s="213"/>
      <c r="E41" s="213"/>
      <c r="F41" s="213"/>
    </row>
    <row r="42" spans="1:6">
      <c r="B42" s="213"/>
      <c r="C42" s="213"/>
      <c r="D42" s="213"/>
      <c r="E42" s="213"/>
      <c r="F42" s="213"/>
    </row>
    <row r="43" spans="1:6">
      <c r="B43" s="213"/>
      <c r="C43" s="213"/>
      <c r="D43" s="213"/>
      <c r="E43" s="213"/>
      <c r="F43" s="213"/>
    </row>
    <row r="44" spans="1:6">
      <c r="B44" s="213"/>
      <c r="C44" s="213"/>
      <c r="D44" s="213"/>
      <c r="E44" s="213"/>
      <c r="F44" s="213"/>
    </row>
    <row r="45" spans="1:6">
      <c r="B45" s="213"/>
      <c r="C45" s="213"/>
      <c r="D45" s="213"/>
      <c r="E45" s="213"/>
      <c r="F45" s="213"/>
    </row>
    <row r="46" spans="1:6">
      <c r="B46" s="213"/>
      <c r="C46" s="213"/>
      <c r="D46" s="213"/>
      <c r="E46" s="213"/>
      <c r="F46" s="213"/>
    </row>
    <row r="47" spans="1:6">
      <c r="B47" s="213"/>
      <c r="C47" s="213"/>
      <c r="D47" s="213"/>
      <c r="E47" s="213"/>
      <c r="F47" s="213"/>
    </row>
    <row r="48" spans="1:6">
      <c r="B48" s="213"/>
      <c r="C48" s="213"/>
      <c r="D48" s="213"/>
      <c r="E48" s="213"/>
      <c r="F48" s="213"/>
    </row>
    <row r="49" spans="2:6">
      <c r="B49" s="213"/>
      <c r="C49" s="213"/>
      <c r="D49" s="213"/>
      <c r="E49" s="213"/>
      <c r="F49" s="213"/>
    </row>
  </sheetData>
  <pageMargins left="0.70866141732283472" right="0.70866141732283472" top="0.74803149606299213" bottom="0.74803149606299213" header="0.31496062992125984" footer="0.31496062992125984"/>
  <pageSetup paperSize="9" scale="89" firstPageNumber="3" orientation="portrait" useFirstPageNumber="1" r:id="rId1"/>
  <headerFooter>
    <oddFooter>&amp;L&amp;"-,Italic"&amp;8______________________________________________________
Arion Bank Factbook 31.12.2018&amp;C&amp;8&amp;P&amp;R&amp;8______________________________________________________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1:F56"/>
  <sheetViews>
    <sheetView zoomScaleNormal="100" workbookViewId="0">
      <selection activeCell="H6" sqref="H6"/>
    </sheetView>
  </sheetViews>
  <sheetFormatPr defaultColWidth="9.1796875" defaultRowHeight="14.5"/>
  <cols>
    <col min="1" max="1" width="44.7265625" style="217" customWidth="1"/>
    <col min="2" max="6" width="9.54296875" style="217" customWidth="1"/>
    <col min="7" max="10" width="9.1796875" style="196"/>
    <col min="11" max="11" width="40.26953125" style="196" customWidth="1"/>
    <col min="12" max="16384" width="9.1796875" style="196"/>
  </cols>
  <sheetData>
    <row r="1" spans="1:6" ht="27.75" customHeight="1">
      <c r="A1" s="206" t="s">
        <v>334</v>
      </c>
      <c r="B1" s="232">
        <v>0</v>
      </c>
      <c r="C1" s="232">
        <v>4</v>
      </c>
      <c r="D1" s="232">
        <v>8</v>
      </c>
      <c r="E1" s="232">
        <v>12</v>
      </c>
      <c r="F1" s="232">
        <v>16</v>
      </c>
    </row>
    <row r="2" spans="1:6">
      <c r="A2" s="208" t="s">
        <v>319</v>
      </c>
      <c r="B2" s="209">
        <v>2018</v>
      </c>
      <c r="C2" s="209">
        <v>2017</v>
      </c>
      <c r="D2" s="209">
        <v>2016</v>
      </c>
      <c r="E2" s="209">
        <v>2015</v>
      </c>
      <c r="F2" s="209">
        <v>2014</v>
      </c>
    </row>
    <row r="3" spans="1:6">
      <c r="A3" s="210"/>
      <c r="B3" s="211"/>
      <c r="C3" s="211"/>
      <c r="D3" s="211"/>
      <c r="E3" s="211"/>
      <c r="F3" s="211"/>
    </row>
    <row r="4" spans="1:6">
      <c r="A4" s="212" t="s">
        <v>101</v>
      </c>
      <c r="B4" s="213"/>
      <c r="C4" s="213"/>
      <c r="D4" s="213"/>
      <c r="E4" s="213"/>
      <c r="F4" s="213"/>
    </row>
    <row r="5" spans="1:6">
      <c r="A5" s="214" t="s">
        <v>335</v>
      </c>
      <c r="B5" s="235">
        <v>83139</v>
      </c>
      <c r="C5" s="235">
        <v>139819</v>
      </c>
      <c r="D5" s="235">
        <v>87634</v>
      </c>
      <c r="E5" s="235">
        <v>48102</v>
      </c>
      <c r="F5" s="235">
        <v>21063</v>
      </c>
    </row>
    <row r="6" spans="1:6">
      <c r="A6" s="214" t="s">
        <v>23</v>
      </c>
      <c r="B6" s="235">
        <v>56322</v>
      </c>
      <c r="C6" s="235">
        <v>86609</v>
      </c>
      <c r="D6" s="235">
        <v>80116</v>
      </c>
      <c r="E6" s="235">
        <v>87491</v>
      </c>
      <c r="F6" s="235">
        <v>108792</v>
      </c>
    </row>
    <row r="7" spans="1:6">
      <c r="A7" s="214" t="s">
        <v>24</v>
      </c>
      <c r="B7" s="235">
        <v>833826</v>
      </c>
      <c r="C7" s="235">
        <v>765101</v>
      </c>
      <c r="D7" s="235">
        <v>712422</v>
      </c>
      <c r="E7" s="235">
        <v>680350</v>
      </c>
      <c r="F7" s="235">
        <v>647508</v>
      </c>
    </row>
    <row r="8" spans="1:6">
      <c r="A8" s="214" t="s">
        <v>285</v>
      </c>
      <c r="B8" s="235">
        <v>114557</v>
      </c>
      <c r="C8" s="235">
        <v>109450</v>
      </c>
      <c r="D8" s="235">
        <v>117456</v>
      </c>
      <c r="E8" s="235">
        <v>133191</v>
      </c>
      <c r="F8" s="235">
        <v>101828</v>
      </c>
    </row>
    <row r="9" spans="1:6">
      <c r="A9" s="214" t="s">
        <v>109</v>
      </c>
      <c r="B9" s="235">
        <v>7092</v>
      </c>
      <c r="C9" s="235">
        <v>6613</v>
      </c>
      <c r="D9" s="235">
        <v>5358</v>
      </c>
      <c r="E9" s="235">
        <v>7542</v>
      </c>
      <c r="F9" s="235">
        <v>6842</v>
      </c>
    </row>
    <row r="10" spans="1:6">
      <c r="A10" s="214" t="s">
        <v>19</v>
      </c>
      <c r="B10" s="235">
        <v>818</v>
      </c>
      <c r="C10" s="235">
        <v>760</v>
      </c>
      <c r="D10" s="235">
        <v>839</v>
      </c>
      <c r="E10" s="235">
        <v>27299</v>
      </c>
      <c r="F10" s="235">
        <v>21966</v>
      </c>
    </row>
    <row r="11" spans="1:6">
      <c r="A11" s="214" t="s">
        <v>17</v>
      </c>
      <c r="B11" s="235">
        <v>6397</v>
      </c>
      <c r="C11" s="235">
        <v>13848</v>
      </c>
      <c r="D11" s="235">
        <v>11057</v>
      </c>
      <c r="E11" s="235">
        <v>9285</v>
      </c>
      <c r="F11" s="235">
        <v>9596</v>
      </c>
    </row>
    <row r="12" spans="1:6">
      <c r="A12" s="214" t="s">
        <v>108</v>
      </c>
      <c r="B12" s="235">
        <v>90</v>
      </c>
      <c r="C12" s="235">
        <v>450</v>
      </c>
      <c r="D12" s="235">
        <v>288</v>
      </c>
      <c r="E12" s="235">
        <v>205</v>
      </c>
      <c r="F12" s="235">
        <v>655</v>
      </c>
    </row>
    <row r="13" spans="1:6">
      <c r="A13" s="214" t="s">
        <v>428</v>
      </c>
      <c r="B13" s="235">
        <v>48584</v>
      </c>
      <c r="C13" s="235">
        <v>8138</v>
      </c>
      <c r="D13" s="235">
        <v>4418</v>
      </c>
      <c r="E13" s="235">
        <v>5082</v>
      </c>
      <c r="F13" s="235">
        <v>3958</v>
      </c>
    </row>
    <row r="14" spans="1:6">
      <c r="A14" s="214" t="s">
        <v>18</v>
      </c>
      <c r="B14" s="238">
        <v>13502</v>
      </c>
      <c r="C14" s="238">
        <v>16966</v>
      </c>
      <c r="D14" s="238">
        <v>16436</v>
      </c>
      <c r="E14" s="238">
        <v>12496</v>
      </c>
      <c r="F14" s="238">
        <v>11528</v>
      </c>
    </row>
    <row r="15" spans="1:6">
      <c r="A15" s="212" t="s">
        <v>15</v>
      </c>
      <c r="B15" s="252">
        <v>1164327</v>
      </c>
      <c r="C15" s="252">
        <v>1147754</v>
      </c>
      <c r="D15" s="252">
        <v>1036024</v>
      </c>
      <c r="E15" s="252">
        <v>1011043</v>
      </c>
      <c r="F15" s="252">
        <v>933736</v>
      </c>
    </row>
    <row r="16" spans="1:6" ht="1.5" customHeight="1">
      <c r="A16" s="212"/>
      <c r="B16" s="238"/>
      <c r="C16" s="238"/>
      <c r="D16" s="238"/>
      <c r="E16" s="238"/>
      <c r="F16" s="238"/>
    </row>
    <row r="17" spans="1:6">
      <c r="A17" s="226"/>
      <c r="B17" s="235"/>
      <c r="C17" s="235"/>
      <c r="D17" s="235"/>
      <c r="E17" s="235"/>
      <c r="F17" s="235"/>
    </row>
    <row r="18" spans="1:6">
      <c r="A18" s="212" t="s">
        <v>376</v>
      </c>
      <c r="B18" s="235"/>
      <c r="C18" s="235"/>
      <c r="D18" s="235"/>
      <c r="E18" s="235"/>
      <c r="F18" s="235"/>
    </row>
    <row r="19" spans="1:6">
      <c r="A19" s="214" t="s">
        <v>336</v>
      </c>
      <c r="B19" s="235">
        <v>9204</v>
      </c>
      <c r="C19" s="235">
        <v>7370</v>
      </c>
      <c r="D19" s="235">
        <v>7987</v>
      </c>
      <c r="E19" s="235">
        <v>11387</v>
      </c>
      <c r="F19" s="235">
        <v>22876</v>
      </c>
    </row>
    <row r="20" spans="1:6">
      <c r="A20" s="214" t="s">
        <v>14</v>
      </c>
      <c r="B20" s="235">
        <v>466067</v>
      </c>
      <c r="C20" s="235">
        <v>462161</v>
      </c>
      <c r="D20" s="235">
        <v>412064</v>
      </c>
      <c r="E20" s="235">
        <v>469347</v>
      </c>
      <c r="F20" s="235">
        <v>454973</v>
      </c>
    </row>
    <row r="21" spans="1:6">
      <c r="A21" s="214" t="s">
        <v>316</v>
      </c>
      <c r="B21" s="235">
        <v>2320</v>
      </c>
      <c r="C21" s="235">
        <v>3601</v>
      </c>
      <c r="D21" s="235">
        <v>3726</v>
      </c>
      <c r="E21" s="235">
        <v>7609</v>
      </c>
      <c r="F21" s="235">
        <v>9143</v>
      </c>
    </row>
    <row r="22" spans="1:6">
      <c r="A22" s="214" t="s">
        <v>110</v>
      </c>
      <c r="B22" s="235">
        <v>5119</v>
      </c>
      <c r="C22" s="235">
        <v>6828</v>
      </c>
      <c r="D22" s="235">
        <v>7293</v>
      </c>
      <c r="E22" s="235">
        <v>4922</v>
      </c>
      <c r="F22" s="235">
        <v>5123</v>
      </c>
    </row>
    <row r="23" spans="1:6">
      <c r="A23" s="214" t="s">
        <v>429</v>
      </c>
      <c r="B23" s="235">
        <v>26337</v>
      </c>
      <c r="C23" s="235">
        <v>0</v>
      </c>
      <c r="D23" s="235">
        <v>0</v>
      </c>
      <c r="E23" s="235">
        <v>0</v>
      </c>
      <c r="F23" s="235">
        <v>0</v>
      </c>
    </row>
    <row r="24" spans="1:6">
      <c r="A24" s="214" t="s">
        <v>20</v>
      </c>
      <c r="B24" s="235">
        <v>30107</v>
      </c>
      <c r="C24" s="235">
        <v>57062</v>
      </c>
      <c r="D24" s="235">
        <v>54094</v>
      </c>
      <c r="E24" s="235">
        <v>49461</v>
      </c>
      <c r="F24" s="235">
        <v>47190</v>
      </c>
    </row>
    <row r="25" spans="1:6">
      <c r="A25" s="214" t="s">
        <v>11</v>
      </c>
      <c r="B25" s="235">
        <v>417782</v>
      </c>
      <c r="C25" s="235">
        <v>384998</v>
      </c>
      <c r="D25" s="235">
        <v>339476</v>
      </c>
      <c r="E25" s="235">
        <v>256058</v>
      </c>
      <c r="F25" s="235">
        <v>200580</v>
      </c>
    </row>
    <row r="26" spans="1:6">
      <c r="A26" s="214" t="s">
        <v>364</v>
      </c>
      <c r="B26" s="238">
        <v>6532</v>
      </c>
      <c r="C26" s="238">
        <v>0</v>
      </c>
      <c r="D26" s="238">
        <v>0</v>
      </c>
      <c r="E26" s="238">
        <v>10365</v>
      </c>
      <c r="F26" s="238">
        <v>31639</v>
      </c>
    </row>
    <row r="27" spans="1:6">
      <c r="A27" s="212" t="s">
        <v>377</v>
      </c>
      <c r="B27" s="252">
        <v>963468</v>
      </c>
      <c r="C27" s="252">
        <v>922020</v>
      </c>
      <c r="D27" s="252">
        <v>824640</v>
      </c>
      <c r="E27" s="252">
        <v>809149</v>
      </c>
      <c r="F27" s="252">
        <v>771524</v>
      </c>
    </row>
    <row r="28" spans="1:6">
      <c r="A28" s="225"/>
      <c r="B28" s="235"/>
      <c r="C28" s="235"/>
      <c r="D28" s="235"/>
      <c r="E28" s="235"/>
      <c r="F28" s="235"/>
    </row>
    <row r="29" spans="1:6">
      <c r="A29" s="212" t="s">
        <v>21</v>
      </c>
      <c r="B29" s="235"/>
      <c r="C29" s="235"/>
      <c r="D29" s="235"/>
      <c r="E29" s="235"/>
      <c r="F29" s="235"/>
    </row>
    <row r="30" spans="1:6">
      <c r="A30" s="214" t="s">
        <v>360</v>
      </c>
      <c r="B30" s="235">
        <v>59010</v>
      </c>
      <c r="C30" s="235">
        <v>75861</v>
      </c>
      <c r="D30" s="235">
        <v>75861</v>
      </c>
      <c r="E30" s="235">
        <v>75861</v>
      </c>
      <c r="F30" s="235">
        <v>75861</v>
      </c>
    </row>
    <row r="31" spans="1:6">
      <c r="A31" s="214" t="s">
        <v>361</v>
      </c>
      <c r="B31" s="235">
        <v>14822</v>
      </c>
      <c r="C31" s="235">
        <v>16774</v>
      </c>
      <c r="D31" s="235">
        <v>19761</v>
      </c>
      <c r="E31" s="235">
        <v>4547</v>
      </c>
      <c r="F31" s="235">
        <v>1632</v>
      </c>
    </row>
    <row r="32" spans="1:6">
      <c r="A32" s="214" t="s">
        <v>362</v>
      </c>
      <c r="B32" s="238">
        <v>126897</v>
      </c>
      <c r="C32" s="238">
        <v>132971</v>
      </c>
      <c r="D32" s="238">
        <v>115590</v>
      </c>
      <c r="E32" s="238">
        <v>112378</v>
      </c>
      <c r="F32" s="238">
        <v>83218</v>
      </c>
    </row>
    <row r="33" spans="1:6">
      <c r="A33" s="212" t="s">
        <v>378</v>
      </c>
      <c r="B33" s="253">
        <v>200729</v>
      </c>
      <c r="C33" s="253">
        <v>225606</v>
      </c>
      <c r="D33" s="253">
        <v>211212</v>
      </c>
      <c r="E33" s="253">
        <v>192786</v>
      </c>
      <c r="F33" s="253">
        <v>160711</v>
      </c>
    </row>
    <row r="34" spans="1:6">
      <c r="A34" s="214" t="s">
        <v>328</v>
      </c>
      <c r="B34" s="238">
        <v>130</v>
      </c>
      <c r="C34" s="238">
        <v>128</v>
      </c>
      <c r="D34" s="238">
        <v>172</v>
      </c>
      <c r="E34" s="238">
        <v>9108</v>
      </c>
      <c r="F34" s="238">
        <v>1501</v>
      </c>
    </row>
    <row r="35" spans="1:6">
      <c r="A35" s="212" t="s">
        <v>53</v>
      </c>
      <c r="B35" s="252">
        <v>200859</v>
      </c>
      <c r="C35" s="252">
        <v>225734</v>
      </c>
      <c r="D35" s="252">
        <v>211384</v>
      </c>
      <c r="E35" s="252">
        <v>201894</v>
      </c>
      <c r="F35" s="252">
        <v>162212</v>
      </c>
    </row>
    <row r="36" spans="1:6">
      <c r="A36" s="212" t="s">
        <v>16</v>
      </c>
      <c r="B36" s="252">
        <v>1164327</v>
      </c>
      <c r="C36" s="252">
        <v>1147754</v>
      </c>
      <c r="D36" s="252">
        <v>1036024</v>
      </c>
      <c r="E36" s="252">
        <v>1011043</v>
      </c>
      <c r="F36" s="252">
        <v>933736</v>
      </c>
    </row>
    <row r="37" spans="1:6" ht="1.5" customHeight="1">
      <c r="A37" s="212"/>
      <c r="B37" s="220"/>
      <c r="C37" s="220"/>
      <c r="D37" s="220"/>
      <c r="E37" s="220"/>
      <c r="F37" s="220"/>
    </row>
    <row r="38" spans="1:6">
      <c r="A38" s="212"/>
      <c r="B38" s="213"/>
      <c r="C38" s="213"/>
      <c r="D38" s="213"/>
      <c r="E38" s="213"/>
      <c r="F38" s="213"/>
    </row>
    <row r="39" spans="1:6">
      <c r="A39" s="214"/>
      <c r="B39" s="213"/>
      <c r="C39" s="213"/>
      <c r="D39" s="213"/>
      <c r="E39" s="213"/>
      <c r="F39" s="213"/>
    </row>
    <row r="40" spans="1:6">
      <c r="A40" s="214"/>
      <c r="B40" s="213"/>
      <c r="C40" s="213"/>
      <c r="D40" s="213"/>
      <c r="E40" s="213"/>
      <c r="F40" s="213"/>
    </row>
    <row r="41" spans="1:6">
      <c r="A41" s="214"/>
      <c r="B41" s="213"/>
      <c r="C41" s="213"/>
      <c r="D41" s="213"/>
      <c r="E41" s="213"/>
      <c r="F41" s="213"/>
    </row>
    <row r="42" spans="1:6">
      <c r="A42" s="214"/>
      <c r="B42" s="227"/>
      <c r="C42" s="227"/>
      <c r="D42" s="227"/>
      <c r="E42" s="227"/>
      <c r="F42" s="227"/>
    </row>
    <row r="43" spans="1:6">
      <c r="A43" s="214"/>
      <c r="B43" s="213"/>
      <c r="C43" s="213"/>
      <c r="D43" s="213"/>
      <c r="E43" s="213"/>
      <c r="F43" s="213"/>
    </row>
    <row r="44" spans="1:6">
      <c r="A44" s="214"/>
      <c r="B44" s="213"/>
      <c r="C44" s="213"/>
      <c r="D44" s="213"/>
      <c r="E44" s="213"/>
      <c r="F44" s="213"/>
    </row>
    <row r="45" spans="1:6">
      <c r="A45" s="214"/>
      <c r="B45" s="213"/>
      <c r="C45" s="213"/>
      <c r="D45" s="213"/>
      <c r="E45" s="213"/>
      <c r="F45" s="213"/>
    </row>
    <row r="46" spans="1:6">
      <c r="A46" s="214"/>
      <c r="B46" s="213"/>
      <c r="C46" s="213"/>
      <c r="D46" s="213"/>
      <c r="E46" s="213"/>
      <c r="F46" s="213"/>
    </row>
    <row r="47" spans="1:6">
      <c r="A47" s="214"/>
      <c r="B47" s="213"/>
      <c r="C47" s="213"/>
      <c r="D47" s="213"/>
      <c r="E47" s="213"/>
      <c r="F47" s="213"/>
    </row>
    <row r="48" spans="1:6">
      <c r="B48" s="213"/>
      <c r="C48" s="213"/>
      <c r="D48" s="213"/>
      <c r="E48" s="213"/>
      <c r="F48" s="213"/>
    </row>
    <row r="49" spans="2:6">
      <c r="B49" s="213"/>
      <c r="C49" s="213"/>
      <c r="D49" s="213"/>
      <c r="E49" s="213"/>
      <c r="F49" s="213"/>
    </row>
    <row r="50" spans="2:6">
      <c r="B50" s="213"/>
      <c r="C50" s="213"/>
      <c r="D50" s="213"/>
      <c r="E50" s="213"/>
      <c r="F50" s="213"/>
    </row>
    <row r="51" spans="2:6">
      <c r="B51" s="213"/>
      <c r="C51" s="213"/>
      <c r="D51" s="213"/>
      <c r="E51" s="213"/>
      <c r="F51" s="213"/>
    </row>
    <row r="52" spans="2:6">
      <c r="B52" s="213"/>
      <c r="C52" s="213"/>
      <c r="D52" s="213"/>
      <c r="E52" s="213"/>
      <c r="F52" s="213"/>
    </row>
    <row r="53" spans="2:6">
      <c r="B53" s="213"/>
      <c r="C53" s="213"/>
      <c r="D53" s="213"/>
      <c r="E53" s="213"/>
      <c r="F53" s="213"/>
    </row>
    <row r="54" spans="2:6">
      <c r="B54" s="213"/>
      <c r="C54" s="213"/>
      <c r="D54" s="213"/>
      <c r="E54" s="213"/>
      <c r="F54" s="213"/>
    </row>
    <row r="55" spans="2:6">
      <c r="B55" s="213"/>
      <c r="C55" s="213"/>
      <c r="D55" s="213"/>
      <c r="E55" s="213"/>
      <c r="F55" s="213"/>
    </row>
    <row r="56" spans="2:6">
      <c r="B56" s="213"/>
      <c r="C56" s="213"/>
      <c r="D56" s="213"/>
      <c r="E56" s="213"/>
      <c r="F56" s="213"/>
    </row>
  </sheetData>
  <pageMargins left="0.70866141732283472" right="0.70866141732283472" top="0.74803149606299213" bottom="0.74803149606299213" header="0.31496062992125984" footer="0.31496062992125984"/>
  <pageSetup paperSize="9" scale="94" firstPageNumber="4" orientation="portrait" useFirstPageNumber="1" r:id="rId1"/>
  <headerFooter>
    <oddFooter>&amp;L&amp;"-,Italic"&amp;8______________________________________________________
Arion Bank Factbook 31.12.2018&amp;C&amp;8&amp;P&amp;R&amp;"-,Italic"&amp;8______________________________________________________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P38"/>
  <sheetViews>
    <sheetView zoomScaleNormal="100" workbookViewId="0">
      <selection activeCell="H6" sqref="H6"/>
    </sheetView>
  </sheetViews>
  <sheetFormatPr defaultColWidth="9.1796875" defaultRowHeight="14"/>
  <cols>
    <col min="1" max="1" width="47.54296875" style="217" bestFit="1" customWidth="1"/>
    <col min="2" max="6" width="9" style="217" customWidth="1"/>
    <col min="7" max="7" width="4" style="217" customWidth="1"/>
    <col min="8" max="8" width="11.26953125" style="217" customWidth="1"/>
    <col min="9" max="16384" width="9.1796875" style="217"/>
  </cols>
  <sheetData>
    <row r="1" spans="1:16" ht="27.75" customHeight="1">
      <c r="A1" s="206" t="s">
        <v>344</v>
      </c>
      <c r="B1" s="232"/>
      <c r="C1" s="232">
        <v>4</v>
      </c>
      <c r="D1" s="232">
        <v>8</v>
      </c>
      <c r="E1" s="232">
        <v>12</v>
      </c>
      <c r="F1" s="232">
        <v>16</v>
      </c>
      <c r="G1" s="235"/>
    </row>
    <row r="2" spans="1:16">
      <c r="A2" s="208" t="s">
        <v>319</v>
      </c>
      <c r="B2" s="209">
        <v>2018</v>
      </c>
      <c r="C2" s="209">
        <v>2017</v>
      </c>
      <c r="D2" s="209">
        <v>2016</v>
      </c>
      <c r="E2" s="209">
        <v>2015</v>
      </c>
      <c r="F2" s="209">
        <v>2014</v>
      </c>
      <c r="G2" s="235"/>
    </row>
    <row r="3" spans="1:16">
      <c r="A3" s="210"/>
      <c r="B3" s="211"/>
      <c r="C3" s="211"/>
      <c r="D3" s="211"/>
      <c r="E3" s="211"/>
      <c r="F3" s="211"/>
      <c r="G3" s="235"/>
    </row>
    <row r="4" spans="1:16">
      <c r="A4" s="212" t="s">
        <v>83</v>
      </c>
      <c r="B4" s="213"/>
      <c r="C4" s="213"/>
      <c r="D4" s="213"/>
      <c r="E4" s="213"/>
      <c r="F4" s="213"/>
      <c r="G4" s="235"/>
    </row>
    <row r="5" spans="1:16">
      <c r="A5" s="214" t="s">
        <v>284</v>
      </c>
      <c r="B5" s="235">
        <v>4625</v>
      </c>
      <c r="C5" s="235">
        <v>6315</v>
      </c>
      <c r="D5" s="235">
        <v>4583.8314101099995</v>
      </c>
      <c r="E5" s="235">
        <v>736.31843577999996</v>
      </c>
      <c r="F5" s="235">
        <v>702.65416699999992</v>
      </c>
      <c r="G5" s="235"/>
    </row>
    <row r="6" spans="1:16">
      <c r="A6" s="214" t="s">
        <v>343</v>
      </c>
      <c r="B6" s="235">
        <v>53811</v>
      </c>
      <c r="C6" s="235">
        <v>47547</v>
      </c>
      <c r="D6" s="235">
        <v>51910</v>
      </c>
      <c r="E6" s="235">
        <v>49415</v>
      </c>
      <c r="F6" s="235">
        <v>45810</v>
      </c>
      <c r="G6" s="235"/>
    </row>
    <row r="7" spans="1:16">
      <c r="A7" s="214" t="s">
        <v>12</v>
      </c>
      <c r="B7" s="235">
        <v>607</v>
      </c>
      <c r="C7" s="235">
        <v>1964</v>
      </c>
      <c r="D7" s="235">
        <v>4347</v>
      </c>
      <c r="E7" s="235">
        <v>3532</v>
      </c>
      <c r="F7" s="235">
        <v>3664</v>
      </c>
      <c r="G7" s="235"/>
    </row>
    <row r="8" spans="1:16">
      <c r="A8" s="214" t="s">
        <v>13</v>
      </c>
      <c r="B8" s="238">
        <v>273</v>
      </c>
      <c r="C8" s="238">
        <v>202</v>
      </c>
      <c r="D8" s="238">
        <v>814</v>
      </c>
      <c r="E8" s="238">
        <v>863</v>
      </c>
      <c r="F8" s="238">
        <v>694</v>
      </c>
      <c r="G8" s="235"/>
    </row>
    <row r="9" spans="1:16">
      <c r="A9" s="212" t="s">
        <v>83</v>
      </c>
      <c r="B9" s="252">
        <f>SUM(B5:B8)</f>
        <v>59316</v>
      </c>
      <c r="C9" s="252">
        <v>56028</v>
      </c>
      <c r="D9" s="252">
        <v>61654.831410109997</v>
      </c>
      <c r="E9" s="252">
        <v>54546.318435779998</v>
      </c>
      <c r="F9" s="252">
        <v>50870.654167000001</v>
      </c>
      <c r="G9" s="235"/>
    </row>
    <row r="10" spans="1:16">
      <c r="A10" s="226"/>
      <c r="B10" s="235"/>
      <c r="C10" s="235"/>
      <c r="D10" s="235"/>
      <c r="E10" s="235"/>
      <c r="F10" s="235"/>
      <c r="G10" s="235"/>
    </row>
    <row r="11" spans="1:16">
      <c r="A11" s="212" t="s">
        <v>84</v>
      </c>
      <c r="B11" s="235"/>
      <c r="C11" s="235"/>
      <c r="D11" s="235"/>
      <c r="E11" s="235"/>
      <c r="F11" s="235"/>
      <c r="G11" s="235"/>
    </row>
    <row r="12" spans="1:16">
      <c r="A12" s="214" t="s">
        <v>14</v>
      </c>
      <c r="B12" s="235">
        <v>-13323</v>
      </c>
      <c r="C12" s="235">
        <v>-12605</v>
      </c>
      <c r="D12" s="235">
        <v>-16284</v>
      </c>
      <c r="E12" s="235">
        <v>-15452</v>
      </c>
      <c r="F12" s="235">
        <v>-15983</v>
      </c>
      <c r="G12" s="235"/>
    </row>
    <row r="13" spans="1:16">
      <c r="A13" s="214" t="s">
        <v>11</v>
      </c>
      <c r="B13" s="235">
        <v>-16524</v>
      </c>
      <c r="C13" s="235">
        <v>-14449</v>
      </c>
      <c r="D13" s="235">
        <v>-14851</v>
      </c>
      <c r="E13" s="235">
        <v>-11344</v>
      </c>
      <c r="F13" s="235">
        <v>-9269</v>
      </c>
      <c r="G13" s="235"/>
    </row>
    <row r="14" spans="1:16">
      <c r="A14" s="214" t="s">
        <v>364</v>
      </c>
      <c r="B14" s="235">
        <v>-19</v>
      </c>
      <c r="C14" s="235">
        <v>0</v>
      </c>
      <c r="D14" s="235">
        <v>-529</v>
      </c>
      <c r="E14" s="235">
        <v>-701</v>
      </c>
      <c r="F14" s="235">
        <v>-1292</v>
      </c>
      <c r="G14" s="235"/>
    </row>
    <row r="15" spans="1:16">
      <c r="A15" s="214" t="s">
        <v>13</v>
      </c>
      <c r="B15" s="238">
        <v>-131</v>
      </c>
      <c r="C15" s="238">
        <v>-54</v>
      </c>
      <c r="D15" s="238">
        <v>-91</v>
      </c>
      <c r="E15" s="238">
        <v>-57</v>
      </c>
      <c r="F15" s="238">
        <v>-107</v>
      </c>
      <c r="G15" s="235"/>
    </row>
    <row r="16" spans="1:16">
      <c r="A16" s="212" t="s">
        <v>84</v>
      </c>
      <c r="B16" s="252">
        <f>SUM(B12:B15)</f>
        <v>-29997</v>
      </c>
      <c r="C16" s="252">
        <v>-27108</v>
      </c>
      <c r="D16" s="252">
        <v>-31755</v>
      </c>
      <c r="E16" s="252">
        <v>-27554</v>
      </c>
      <c r="F16" s="252">
        <v>-26651</v>
      </c>
      <c r="G16" s="235"/>
      <c r="N16" s="221"/>
      <c r="O16" s="221"/>
      <c r="P16" s="221"/>
    </row>
    <row r="17" spans="1:7">
      <c r="A17" s="214"/>
      <c r="B17" s="238"/>
      <c r="C17" s="238"/>
      <c r="D17" s="238"/>
      <c r="E17" s="238"/>
      <c r="F17" s="238"/>
      <c r="G17" s="235"/>
    </row>
    <row r="18" spans="1:7">
      <c r="A18" s="212" t="s">
        <v>0</v>
      </c>
      <c r="B18" s="252">
        <f>+B9+B16</f>
        <v>29319</v>
      </c>
      <c r="C18" s="252">
        <v>28920</v>
      </c>
      <c r="D18" s="252">
        <v>29899.831410109997</v>
      </c>
      <c r="E18" s="252">
        <v>26992.318435779998</v>
      </c>
      <c r="F18" s="252">
        <v>24219.654167000001</v>
      </c>
      <c r="G18" s="235"/>
    </row>
    <row r="19" spans="1:7" ht="1.5" customHeight="1">
      <c r="A19" s="212"/>
      <c r="B19" s="238"/>
      <c r="C19" s="238"/>
      <c r="D19" s="238"/>
      <c r="E19" s="238"/>
      <c r="F19" s="238"/>
      <c r="G19" s="235"/>
    </row>
    <row r="20" spans="1:7">
      <c r="A20" s="226"/>
      <c r="B20" s="235"/>
      <c r="C20" s="235"/>
      <c r="D20" s="235"/>
      <c r="E20" s="235"/>
      <c r="F20" s="235"/>
      <c r="G20" s="235"/>
    </row>
    <row r="21" spans="1:7">
      <c r="A21" s="212" t="s">
        <v>314</v>
      </c>
      <c r="B21" s="235"/>
      <c r="C21" s="235"/>
      <c r="D21" s="235"/>
      <c r="E21" s="235"/>
      <c r="F21" s="235"/>
      <c r="G21" s="235"/>
    </row>
    <row r="22" spans="1:7">
      <c r="A22" s="214" t="s">
        <v>335</v>
      </c>
      <c r="B22" s="235">
        <v>83138.529680859996</v>
      </c>
      <c r="C22" s="235">
        <v>139818.59320752</v>
      </c>
      <c r="D22" s="235">
        <v>87633.557692300004</v>
      </c>
      <c r="E22" s="235">
        <v>48101.720908050003</v>
      </c>
      <c r="F22" s="235">
        <v>21062.810119999998</v>
      </c>
      <c r="G22" s="235"/>
    </row>
    <row r="23" spans="1:7">
      <c r="A23" s="214" t="s">
        <v>343</v>
      </c>
      <c r="B23" s="235">
        <v>890148.48465408001</v>
      </c>
      <c r="C23" s="235">
        <v>851709.52870322997</v>
      </c>
      <c r="D23" s="235">
        <v>792538.85742490995</v>
      </c>
      <c r="E23" s="235">
        <v>767840.98215891002</v>
      </c>
      <c r="F23" s="235">
        <v>756300.38521899993</v>
      </c>
      <c r="G23" s="235"/>
    </row>
    <row r="24" spans="1:7">
      <c r="A24" s="214" t="s">
        <v>12</v>
      </c>
      <c r="B24" s="238">
        <v>87701.492964859994</v>
      </c>
      <c r="C24" s="238">
        <v>65402.391224420004</v>
      </c>
      <c r="D24" s="238">
        <v>82041.994743679999</v>
      </c>
      <c r="E24" s="238">
        <v>82714.581741019996</v>
      </c>
      <c r="F24" s="238">
        <v>70703.833117000002</v>
      </c>
      <c r="G24" s="235"/>
    </row>
    <row r="25" spans="1:7">
      <c r="A25" s="212" t="s">
        <v>314</v>
      </c>
      <c r="B25" s="252">
        <v>1060988.5072997999</v>
      </c>
      <c r="C25" s="252">
        <v>1056930.5131351699</v>
      </c>
      <c r="D25" s="252">
        <v>962214.40986089001</v>
      </c>
      <c r="E25" s="252">
        <v>898657.28480797994</v>
      </c>
      <c r="F25" s="252">
        <v>848067.02845599991</v>
      </c>
      <c r="G25" s="235"/>
    </row>
    <row r="26" spans="1:7">
      <c r="A26" s="226"/>
      <c r="B26" s="235"/>
      <c r="C26" s="235"/>
      <c r="D26" s="235"/>
      <c r="E26" s="235"/>
      <c r="F26" s="235"/>
      <c r="G26" s="235"/>
    </row>
    <row r="27" spans="1:7">
      <c r="A27" s="212" t="s">
        <v>91</v>
      </c>
      <c r="B27" s="235"/>
      <c r="C27" s="235"/>
      <c r="D27" s="235"/>
      <c r="E27" s="235"/>
      <c r="F27" s="235"/>
      <c r="G27" s="235"/>
    </row>
    <row r="28" spans="1:7">
      <c r="A28" s="214" t="s">
        <v>336</v>
      </c>
      <c r="B28" s="235">
        <v>9203.9093548099991</v>
      </c>
      <c r="C28" s="235">
        <v>7370.2596964499999</v>
      </c>
      <c r="D28" s="235">
        <v>7986.5</v>
      </c>
      <c r="E28" s="235">
        <v>11386.696657620001</v>
      </c>
      <c r="F28" s="235">
        <v>22875.761248999999</v>
      </c>
      <c r="G28" s="235"/>
    </row>
    <row r="29" spans="1:7">
      <c r="A29" s="214" t="s">
        <v>14</v>
      </c>
      <c r="B29" s="235">
        <v>466067.35062360996</v>
      </c>
      <c r="C29" s="235">
        <v>462161.18658275</v>
      </c>
      <c r="D29" s="235">
        <v>412063.5</v>
      </c>
      <c r="E29" s="235">
        <v>469347.48863501003</v>
      </c>
      <c r="F29" s="235">
        <v>454972.646282</v>
      </c>
      <c r="G29" s="235"/>
    </row>
    <row r="30" spans="1:7">
      <c r="A30" s="214" t="s">
        <v>316</v>
      </c>
      <c r="B30" s="235">
        <v>2319.5848282900001</v>
      </c>
      <c r="C30" s="235">
        <v>3600.5355144800001</v>
      </c>
      <c r="D30" s="235">
        <v>3726.5</v>
      </c>
      <c r="E30" s="235">
        <v>7609.1144461700005</v>
      </c>
      <c r="F30" s="235">
        <v>9142.9546979999996</v>
      </c>
      <c r="G30" s="235"/>
    </row>
    <row r="31" spans="1:7">
      <c r="A31" s="214" t="s">
        <v>11</v>
      </c>
      <c r="B31" s="235">
        <v>417782.05462805001</v>
      </c>
      <c r="C31" s="235">
        <v>384997.68377349997</v>
      </c>
      <c r="D31" s="235">
        <v>339475.5</v>
      </c>
      <c r="E31" s="235">
        <v>256057.72958011</v>
      </c>
      <c r="F31" s="235">
        <v>200579.54996999999</v>
      </c>
      <c r="G31" s="235"/>
    </row>
    <row r="32" spans="1:7">
      <c r="A32" s="214" t="s">
        <v>364</v>
      </c>
      <c r="B32" s="238">
        <v>6531.6386470899997</v>
      </c>
      <c r="C32" s="238">
        <v>0</v>
      </c>
      <c r="D32" s="238">
        <v>0</v>
      </c>
      <c r="E32" s="238">
        <v>10364.867906790001</v>
      </c>
      <c r="F32" s="238">
        <v>31639.005507000002</v>
      </c>
      <c r="G32" s="235"/>
    </row>
    <row r="33" spans="1:7">
      <c r="A33" s="212" t="s">
        <v>91</v>
      </c>
      <c r="B33" s="252">
        <v>901904.53808184993</v>
      </c>
      <c r="C33" s="252">
        <v>858129.66556718003</v>
      </c>
      <c r="D33" s="252">
        <v>763252</v>
      </c>
      <c r="E33" s="252">
        <v>754765.89722570009</v>
      </c>
      <c r="F33" s="252">
        <v>719209.91770599992</v>
      </c>
      <c r="G33" s="253"/>
    </row>
    <row r="34" spans="1:7">
      <c r="B34" s="238"/>
      <c r="C34" s="238"/>
      <c r="D34" s="238"/>
      <c r="E34" s="238"/>
      <c r="F34" s="238"/>
      <c r="G34" s="235"/>
    </row>
    <row r="35" spans="1:7">
      <c r="A35" s="212" t="s">
        <v>54</v>
      </c>
      <c r="B35" s="252">
        <v>159083.96921795001</v>
      </c>
      <c r="C35" s="252">
        <v>198800.84756798984</v>
      </c>
      <c r="D35" s="252">
        <v>198962.40986089001</v>
      </c>
      <c r="E35" s="252">
        <v>143891.38758227986</v>
      </c>
      <c r="F35" s="252">
        <v>128857.11074999999</v>
      </c>
      <c r="G35" s="253"/>
    </row>
    <row r="36" spans="1:7" ht="1.5" customHeight="1">
      <c r="A36" s="212"/>
      <c r="B36" s="238"/>
      <c r="C36" s="238"/>
      <c r="D36" s="238"/>
      <c r="E36" s="238"/>
      <c r="F36" s="238"/>
      <c r="G36" s="235"/>
    </row>
    <row r="37" spans="1:7">
      <c r="A37" s="226"/>
      <c r="B37" s="214"/>
      <c r="C37" s="214"/>
      <c r="D37" s="214"/>
      <c r="E37" s="214"/>
      <c r="F37" s="214"/>
      <c r="G37" s="214"/>
    </row>
    <row r="38" spans="1:7">
      <c r="A38" s="212" t="s">
        <v>375</v>
      </c>
      <c r="B38" s="255">
        <v>2.8000000000000001E-2</v>
      </c>
      <c r="C38" s="255">
        <v>2.8658653554314632E-2</v>
      </c>
      <c r="D38" s="255">
        <v>3.1475510550768901E-2</v>
      </c>
      <c r="E38" s="255">
        <v>3.0069122942367927E-2</v>
      </c>
      <c r="F38" s="255">
        <v>2.8382376405917387E-2</v>
      </c>
      <c r="G38" s="25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31.12.2018&amp;C&amp;8&amp;P&amp;R&amp;8__________________________&amp;"-,Italic"____________________________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sheetPr>
  <dimension ref="A1:H64"/>
  <sheetViews>
    <sheetView zoomScaleNormal="100" workbookViewId="0">
      <selection activeCell="H6" sqref="H6"/>
    </sheetView>
  </sheetViews>
  <sheetFormatPr defaultColWidth="9.1796875" defaultRowHeight="14"/>
  <cols>
    <col min="1" max="1" width="48.81640625" style="217" customWidth="1"/>
    <col min="2" max="6" width="9.1796875" style="217" customWidth="1"/>
    <col min="7" max="10" width="9.1796875" style="217"/>
    <col min="11" max="11" width="40.26953125" style="217" customWidth="1"/>
    <col min="12" max="16384" width="9.1796875" style="217"/>
  </cols>
  <sheetData>
    <row r="1" spans="1:8" ht="27.75" customHeight="1">
      <c r="A1" s="258" t="s">
        <v>346</v>
      </c>
      <c r="B1" s="258"/>
      <c r="C1" s="232">
        <v>4</v>
      </c>
      <c r="D1" s="232">
        <v>8</v>
      </c>
      <c r="E1" s="232">
        <v>12</v>
      </c>
      <c r="F1" s="232">
        <v>16</v>
      </c>
      <c r="G1" s="210">
        <v>0</v>
      </c>
    </row>
    <row r="2" spans="1:8">
      <c r="A2" s="208" t="s">
        <v>319</v>
      </c>
      <c r="B2" s="209">
        <v>2018</v>
      </c>
      <c r="C2" s="209">
        <v>2017</v>
      </c>
      <c r="D2" s="209">
        <v>2016</v>
      </c>
      <c r="E2" s="209">
        <v>2015</v>
      </c>
      <c r="F2" s="209">
        <v>2014</v>
      </c>
    </row>
    <row r="3" spans="1:8">
      <c r="A3" s="210"/>
      <c r="B3" s="211"/>
      <c r="C3" s="211"/>
      <c r="D3" s="211"/>
      <c r="E3" s="211"/>
      <c r="F3" s="211"/>
    </row>
    <row r="4" spans="1:8">
      <c r="A4" s="212" t="s">
        <v>24</v>
      </c>
      <c r="B4" s="213"/>
      <c r="C4" s="213"/>
      <c r="D4" s="213"/>
      <c r="E4" s="213"/>
      <c r="F4" s="213"/>
    </row>
    <row r="5" spans="1:8">
      <c r="A5" s="214" t="s">
        <v>29</v>
      </c>
      <c r="B5" s="235">
        <v>400483</v>
      </c>
      <c r="C5" s="235">
        <v>365287</v>
      </c>
      <c r="D5" s="235">
        <v>337416</v>
      </c>
      <c r="E5" s="235">
        <v>324619</v>
      </c>
      <c r="F5" s="235">
        <v>321311</v>
      </c>
    </row>
    <row r="6" spans="1:8">
      <c r="A6" s="214" t="s">
        <v>347</v>
      </c>
      <c r="B6" s="238">
        <v>433343</v>
      </c>
      <c r="C6" s="238">
        <v>399814</v>
      </c>
      <c r="D6" s="238">
        <v>375006</v>
      </c>
      <c r="E6" s="238">
        <v>355731</v>
      </c>
      <c r="F6" s="238">
        <v>326197</v>
      </c>
    </row>
    <row r="7" spans="1:8">
      <c r="A7" s="212" t="s">
        <v>89</v>
      </c>
      <c r="B7" s="238">
        <v>833826</v>
      </c>
      <c r="C7" s="238">
        <v>765101</v>
      </c>
      <c r="D7" s="238">
        <v>712422</v>
      </c>
      <c r="E7" s="238">
        <v>680350</v>
      </c>
      <c r="F7" s="238">
        <v>647508</v>
      </c>
    </row>
    <row r="8" spans="1:8">
      <c r="A8" s="226"/>
      <c r="B8" s="235"/>
      <c r="C8" s="235"/>
      <c r="D8" s="235"/>
      <c r="E8" s="235"/>
      <c r="F8" s="235"/>
    </row>
    <row r="9" spans="1:8">
      <c r="A9" s="212" t="s">
        <v>348</v>
      </c>
      <c r="B9" s="229"/>
      <c r="C9" s="229"/>
      <c r="D9" s="229"/>
      <c r="E9" s="229"/>
      <c r="F9" s="229"/>
    </row>
    <row r="10" spans="1:8">
      <c r="A10" s="214" t="s">
        <v>31</v>
      </c>
      <c r="B10" s="235">
        <v>14536</v>
      </c>
      <c r="C10" s="235">
        <v>14469</v>
      </c>
      <c r="D10" s="235">
        <v>14805</v>
      </c>
      <c r="E10" s="235">
        <v>16840</v>
      </c>
      <c r="F10" s="235">
        <v>17955</v>
      </c>
    </row>
    <row r="11" spans="1:8">
      <c r="A11" s="214" t="s">
        <v>256</v>
      </c>
      <c r="B11" s="235">
        <v>12958</v>
      </c>
      <c r="C11" s="235">
        <v>11133</v>
      </c>
      <c r="D11" s="235">
        <v>11363</v>
      </c>
      <c r="E11" s="235">
        <v>10842</v>
      </c>
      <c r="F11" s="235">
        <v>11065</v>
      </c>
    </row>
    <row r="12" spans="1:8">
      <c r="A12" s="214" t="s">
        <v>247</v>
      </c>
      <c r="B12" s="235">
        <v>343119</v>
      </c>
      <c r="C12" s="235">
        <v>311507</v>
      </c>
      <c r="D12" s="235">
        <v>285784</v>
      </c>
      <c r="E12" s="235">
        <v>271895</v>
      </c>
      <c r="F12" s="235">
        <v>271639</v>
      </c>
    </row>
    <row r="13" spans="1:8">
      <c r="A13" s="214" t="s">
        <v>33</v>
      </c>
      <c r="B13" s="235">
        <v>33560</v>
      </c>
      <c r="C13" s="235">
        <v>33629</v>
      </c>
      <c r="D13" s="235">
        <v>34777</v>
      </c>
      <c r="E13" s="235">
        <v>38058</v>
      </c>
      <c r="F13" s="235">
        <v>33763</v>
      </c>
    </row>
    <row r="14" spans="1:8">
      <c r="A14" s="214" t="s">
        <v>349</v>
      </c>
      <c r="B14" s="238">
        <v>-3690</v>
      </c>
      <c r="C14" s="238">
        <v>-5451</v>
      </c>
      <c r="D14" s="238">
        <v>-9313</v>
      </c>
      <c r="E14" s="238">
        <v>-13016</v>
      </c>
      <c r="F14" s="238">
        <v>-13111</v>
      </c>
    </row>
    <row r="15" spans="1:8">
      <c r="A15" s="212" t="s">
        <v>350</v>
      </c>
      <c r="B15" s="238">
        <v>400483</v>
      </c>
      <c r="C15" s="238">
        <v>365287</v>
      </c>
      <c r="D15" s="238">
        <v>337416</v>
      </c>
      <c r="E15" s="238">
        <v>324619</v>
      </c>
      <c r="F15" s="238">
        <v>321311</v>
      </c>
      <c r="G15" s="221"/>
      <c r="H15" s="221"/>
    </row>
    <row r="16" spans="1:8">
      <c r="A16" s="214"/>
      <c r="B16" s="235"/>
      <c r="C16" s="235"/>
      <c r="D16" s="235"/>
      <c r="E16" s="235"/>
      <c r="F16" s="235"/>
    </row>
    <row r="17" spans="1:7">
      <c r="A17" s="214" t="s">
        <v>416</v>
      </c>
      <c r="B17" s="235">
        <v>0</v>
      </c>
      <c r="C17" s="235">
        <v>344829</v>
      </c>
      <c r="D17" s="235">
        <v>312259</v>
      </c>
      <c r="E17" s="235">
        <v>291277</v>
      </c>
      <c r="F17" s="235">
        <v>277859</v>
      </c>
    </row>
    <row r="18" spans="1:7">
      <c r="A18" s="214" t="s">
        <v>417</v>
      </c>
      <c r="B18" s="235">
        <v>0</v>
      </c>
      <c r="C18" s="235">
        <v>18929</v>
      </c>
      <c r="D18" s="235">
        <v>21854</v>
      </c>
      <c r="E18" s="235">
        <v>26532</v>
      </c>
      <c r="F18" s="235">
        <v>32847</v>
      </c>
    </row>
    <row r="19" spans="1:7">
      <c r="A19" s="214" t="s">
        <v>418</v>
      </c>
      <c r="B19" s="235">
        <v>0</v>
      </c>
      <c r="C19" s="235">
        <v>5539</v>
      </c>
      <c r="D19" s="235">
        <v>10372</v>
      </c>
      <c r="E19" s="235">
        <v>17403</v>
      </c>
      <c r="F19" s="235">
        <v>21621</v>
      </c>
    </row>
    <row r="20" spans="1:7">
      <c r="A20" s="214" t="s">
        <v>419</v>
      </c>
      <c r="B20" s="238">
        <v>0</v>
      </c>
      <c r="C20" s="238">
        <v>-4010</v>
      </c>
      <c r="D20" s="238">
        <v>-7069</v>
      </c>
      <c r="E20" s="238">
        <v>-10593</v>
      </c>
      <c r="F20" s="238">
        <v>-11016</v>
      </c>
    </row>
    <row r="21" spans="1:7">
      <c r="A21" s="212" t="s">
        <v>350</v>
      </c>
      <c r="B21" s="238">
        <v>0</v>
      </c>
      <c r="C21" s="238">
        <v>365287</v>
      </c>
      <c r="D21" s="238">
        <v>337416</v>
      </c>
      <c r="E21" s="238">
        <v>324619</v>
      </c>
      <c r="F21" s="238">
        <v>321311</v>
      </c>
      <c r="G21" s="221"/>
    </row>
    <row r="22" spans="1:7">
      <c r="A22" s="226"/>
      <c r="B22" s="235"/>
      <c r="C22" s="235"/>
      <c r="D22" s="235"/>
      <c r="E22" s="235"/>
      <c r="F22" s="235"/>
      <c r="G22" s="221"/>
    </row>
    <row r="23" spans="1:7">
      <c r="A23" s="212" t="s">
        <v>379</v>
      </c>
      <c r="B23" s="235"/>
      <c r="C23" s="235"/>
      <c r="D23" s="235"/>
      <c r="E23" s="235"/>
      <c r="F23" s="235"/>
    </row>
    <row r="24" spans="1:7" s="198" customFormat="1" ht="14.5">
      <c r="A24" s="214" t="s">
        <v>426</v>
      </c>
      <c r="B24" s="233">
        <v>2.5999999999999999E-2</v>
      </c>
      <c r="C24" s="233" t="s">
        <v>112</v>
      </c>
      <c r="D24" s="233" t="s">
        <v>112</v>
      </c>
      <c r="E24" s="233" t="s">
        <v>112</v>
      </c>
      <c r="F24" s="233" t="s">
        <v>112</v>
      </c>
      <c r="G24" s="196"/>
    </row>
    <row r="25" spans="1:7">
      <c r="A25" s="214" t="s">
        <v>412</v>
      </c>
      <c r="B25" s="235">
        <v>0</v>
      </c>
      <c r="C25" s="233">
        <v>0.98411265571402784</v>
      </c>
      <c r="D25" s="233">
        <v>0.8978981874276899</v>
      </c>
      <c r="E25" s="233">
        <v>0.7479170258001494</v>
      </c>
      <c r="F25" s="233">
        <v>0.60640118403404097</v>
      </c>
    </row>
    <row r="26" spans="1:7">
      <c r="A26" s="214" t="s">
        <v>414</v>
      </c>
      <c r="B26" s="235">
        <v>0</v>
      </c>
      <c r="C26" s="233">
        <v>5.1256847469651798E-2</v>
      </c>
      <c r="D26" s="233">
        <v>6.3439627269692433E-2</v>
      </c>
      <c r="E26" s="233">
        <v>7.9149911101034573E-2</v>
      </c>
      <c r="F26" s="233">
        <v>9.8839396136937416E-2</v>
      </c>
    </row>
    <row r="27" spans="1:7">
      <c r="A27" s="214" t="s">
        <v>413</v>
      </c>
      <c r="B27" s="235">
        <v>0</v>
      </c>
      <c r="C27" s="233">
        <v>1.4998767929336009E-2</v>
      </c>
      <c r="D27" s="233">
        <v>3.0108713006371829E-2</v>
      </c>
      <c r="E27" s="233">
        <v>5.1916399174253905E-2</v>
      </c>
      <c r="F27" s="233">
        <v>6.5059414371989033E-2</v>
      </c>
    </row>
    <row r="28" spans="1:7">
      <c r="A28" s="214"/>
      <c r="B28" s="235"/>
      <c r="C28" s="233"/>
      <c r="D28" s="233"/>
      <c r="E28" s="233"/>
      <c r="F28" s="233"/>
    </row>
    <row r="29" spans="1:7">
      <c r="A29" s="219" t="s">
        <v>427</v>
      </c>
      <c r="B29" s="233"/>
      <c r="C29" s="233"/>
      <c r="D29" s="233"/>
      <c r="E29" s="233"/>
      <c r="F29" s="233"/>
    </row>
    <row r="30" spans="1:7">
      <c r="A30" s="219" t="s">
        <v>415</v>
      </c>
      <c r="B30" s="233"/>
      <c r="C30" s="233"/>
      <c r="D30" s="233"/>
      <c r="E30" s="233"/>
      <c r="F30" s="233"/>
    </row>
    <row r="31" spans="1:7">
      <c r="A31" s="219"/>
      <c r="B31" s="214"/>
      <c r="C31" s="214"/>
      <c r="D31" s="214"/>
      <c r="E31" s="214"/>
      <c r="F31" s="214"/>
    </row>
    <row r="32" spans="1:7">
      <c r="A32" s="212" t="s">
        <v>357</v>
      </c>
      <c r="B32" s="229"/>
      <c r="C32" s="229"/>
      <c r="D32" s="229"/>
      <c r="E32" s="229"/>
      <c r="F32" s="229"/>
    </row>
    <row r="33" spans="1:8">
      <c r="A33" s="214" t="s">
        <v>31</v>
      </c>
      <c r="B33" s="235">
        <v>19200</v>
      </c>
      <c r="C33" s="235">
        <v>18778</v>
      </c>
      <c r="D33" s="235">
        <v>19314</v>
      </c>
      <c r="E33" s="235">
        <v>24248</v>
      </c>
      <c r="F33" s="235">
        <v>24420</v>
      </c>
    </row>
    <row r="34" spans="1:8">
      <c r="A34" s="214" t="s">
        <v>256</v>
      </c>
      <c r="B34" s="235">
        <v>1348</v>
      </c>
      <c r="C34" s="235">
        <v>1123</v>
      </c>
      <c r="D34" s="235">
        <v>1180</v>
      </c>
      <c r="E34" s="235">
        <v>1054</v>
      </c>
      <c r="F34" s="235">
        <v>943</v>
      </c>
    </row>
    <row r="35" spans="1:8">
      <c r="A35" s="214" t="s">
        <v>247</v>
      </c>
      <c r="B35" s="235">
        <v>23417</v>
      </c>
      <c r="C35" s="235">
        <v>19632</v>
      </c>
      <c r="D35" s="235">
        <v>16298</v>
      </c>
      <c r="E35" s="235">
        <v>12889</v>
      </c>
      <c r="F35" s="235">
        <v>10406</v>
      </c>
    </row>
    <row r="36" spans="1:8">
      <c r="A36" s="214" t="s">
        <v>33</v>
      </c>
      <c r="B36" s="235">
        <v>395579</v>
      </c>
      <c r="C36" s="235">
        <v>368312</v>
      </c>
      <c r="D36" s="235">
        <v>351739</v>
      </c>
      <c r="E36" s="235">
        <v>334849</v>
      </c>
      <c r="F36" s="235">
        <v>303998</v>
      </c>
    </row>
    <row r="37" spans="1:8">
      <c r="A37" s="214" t="s">
        <v>349</v>
      </c>
      <c r="B37" s="238">
        <v>-6201</v>
      </c>
      <c r="C37" s="238">
        <v>-8031</v>
      </c>
      <c r="D37" s="238">
        <v>-13525</v>
      </c>
      <c r="E37" s="238">
        <v>-17309</v>
      </c>
      <c r="F37" s="238">
        <v>-13570</v>
      </c>
    </row>
    <row r="38" spans="1:8">
      <c r="A38" s="212" t="s">
        <v>358</v>
      </c>
      <c r="B38" s="238">
        <v>433343</v>
      </c>
      <c r="C38" s="238">
        <v>399814</v>
      </c>
      <c r="D38" s="238">
        <v>375006</v>
      </c>
      <c r="E38" s="238">
        <v>355731</v>
      </c>
      <c r="F38" s="238">
        <v>326197</v>
      </c>
      <c r="G38" s="221"/>
      <c r="H38" s="221">
        <v>0</v>
      </c>
    </row>
    <row r="39" spans="1:8">
      <c r="B39" s="235"/>
      <c r="C39" s="235"/>
      <c r="D39" s="235"/>
      <c r="E39" s="235"/>
      <c r="F39" s="235"/>
    </row>
    <row r="40" spans="1:8">
      <c r="A40" s="214" t="s">
        <v>416</v>
      </c>
      <c r="B40" s="235">
        <v>0</v>
      </c>
      <c r="C40" s="235">
        <v>385197</v>
      </c>
      <c r="D40" s="235">
        <v>358709</v>
      </c>
      <c r="E40" s="235">
        <v>337153</v>
      </c>
      <c r="F40" s="235">
        <v>308588</v>
      </c>
    </row>
    <row r="41" spans="1:8">
      <c r="A41" s="214" t="s">
        <v>417</v>
      </c>
      <c r="B41" s="235">
        <v>0</v>
      </c>
      <c r="C41" s="235">
        <v>13655</v>
      </c>
      <c r="D41" s="235">
        <v>14251</v>
      </c>
      <c r="E41" s="235">
        <v>17302</v>
      </c>
      <c r="F41" s="235">
        <v>15114</v>
      </c>
    </row>
    <row r="42" spans="1:8">
      <c r="A42" s="214" t="s">
        <v>418</v>
      </c>
      <c r="B42" s="235">
        <v>0</v>
      </c>
      <c r="C42" s="235">
        <v>7239</v>
      </c>
      <c r="D42" s="235">
        <v>13258</v>
      </c>
      <c r="E42" s="235">
        <v>16024</v>
      </c>
      <c r="F42" s="235">
        <v>13693</v>
      </c>
    </row>
    <row r="43" spans="1:8">
      <c r="A43" s="214" t="s">
        <v>419</v>
      </c>
      <c r="B43" s="238">
        <v>0</v>
      </c>
      <c r="C43" s="238">
        <v>-6277</v>
      </c>
      <c r="D43" s="238">
        <v>-11212</v>
      </c>
      <c r="E43" s="238">
        <v>-14748</v>
      </c>
      <c r="F43" s="238">
        <v>-11198</v>
      </c>
    </row>
    <row r="44" spans="1:8">
      <c r="A44" s="212" t="s">
        <v>350</v>
      </c>
      <c r="B44" s="238">
        <v>0</v>
      </c>
      <c r="C44" s="238">
        <v>399814</v>
      </c>
      <c r="D44" s="238">
        <v>375006</v>
      </c>
      <c r="E44" s="238">
        <v>355731</v>
      </c>
      <c r="F44" s="238">
        <v>326197</v>
      </c>
      <c r="G44" s="221"/>
    </row>
    <row r="45" spans="1:8">
      <c r="A45" s="226"/>
      <c r="B45" s="235"/>
      <c r="C45" s="235"/>
      <c r="D45" s="235"/>
      <c r="E45" s="235"/>
      <c r="F45" s="235"/>
    </row>
    <row r="46" spans="1:8">
      <c r="A46" s="212" t="s">
        <v>379</v>
      </c>
      <c r="B46" s="235"/>
      <c r="C46" s="235"/>
      <c r="D46" s="235"/>
      <c r="E46" s="235"/>
      <c r="F46" s="235"/>
    </row>
    <row r="47" spans="1:8">
      <c r="A47" s="214" t="s">
        <v>412</v>
      </c>
      <c r="B47" s="235">
        <v>0</v>
      </c>
      <c r="C47" s="233">
        <v>1.1094073767094903</v>
      </c>
      <c r="D47" s="233">
        <v>1.0201387841303364</v>
      </c>
      <c r="E47" s="233">
        <v>1.0801922116824763</v>
      </c>
      <c r="F47" s="233">
        <v>0.99101730811363475</v>
      </c>
    </row>
    <row r="48" spans="1:8">
      <c r="A48" s="214" t="s">
        <v>414</v>
      </c>
      <c r="B48" s="235">
        <v>0</v>
      </c>
      <c r="C48" s="233">
        <v>3.3625468183239721E-2</v>
      </c>
      <c r="D48" s="233">
        <v>3.6898849872351883E-2</v>
      </c>
      <c r="E48" s="233">
        <v>4.6701702390688812E-2</v>
      </c>
      <c r="F48" s="233">
        <v>4.4796158804961544E-2</v>
      </c>
    </row>
    <row r="49" spans="1:6">
      <c r="A49" s="214" t="s">
        <v>413</v>
      </c>
      <c r="B49" s="235">
        <v>0</v>
      </c>
      <c r="C49" s="233">
        <v>1.7826053766274063E-2</v>
      </c>
      <c r="D49" s="233">
        <v>3.432776307681154E-2</v>
      </c>
      <c r="E49" s="233">
        <v>4.3252114154918364E-2</v>
      </c>
      <c r="F49" s="233">
        <v>4.0584478133937965E-2</v>
      </c>
    </row>
    <row r="50" spans="1:6">
      <c r="B50" s="214"/>
      <c r="C50" s="214"/>
      <c r="D50" s="214"/>
      <c r="E50" s="214"/>
      <c r="F50" s="214"/>
    </row>
    <row r="51" spans="1:6">
      <c r="A51" s="212" t="s">
        <v>359</v>
      </c>
      <c r="B51" s="214"/>
      <c r="C51" s="214"/>
      <c r="D51" s="214"/>
      <c r="E51" s="214"/>
      <c r="F51" s="214"/>
    </row>
    <row r="52" spans="1:6">
      <c r="A52" s="214" t="s">
        <v>380</v>
      </c>
      <c r="B52" s="233">
        <v>1.721269294761886E-2</v>
      </c>
      <c r="C52" s="233">
        <v>1.648266443896412E-2</v>
      </c>
      <c r="D52" s="233">
        <v>1.6423737220204477E-2</v>
      </c>
      <c r="E52" s="233">
        <v>1.6189199142048347E-2</v>
      </c>
      <c r="F52" s="233">
        <v>1.7314690202546314E-2</v>
      </c>
    </row>
    <row r="53" spans="1:6">
      <c r="A53" s="214" t="s">
        <v>175</v>
      </c>
      <c r="B53" s="233">
        <v>3.8147610553303041E-2</v>
      </c>
      <c r="C53" s="233">
        <v>4.5413617332059411E-2</v>
      </c>
      <c r="D53" s="233">
        <v>4.6153928203815406E-2</v>
      </c>
      <c r="E53" s="233">
        <v>5.5839946476410544E-2</v>
      </c>
      <c r="F53" s="233">
        <v>5.6352449593343901E-2</v>
      </c>
    </row>
    <row r="54" spans="1:6">
      <c r="A54" s="214" t="s">
        <v>351</v>
      </c>
      <c r="B54" s="233">
        <v>8.6598837410550078E-2</v>
      </c>
      <c r="C54" s="233">
        <v>8.5384703887307595E-2</v>
      </c>
      <c r="D54" s="233">
        <v>9.3169175959851303E-2</v>
      </c>
      <c r="E54" s="233">
        <v>9.4059837349008094E-2</v>
      </c>
      <c r="F54" s="233">
        <v>8.4896550244177596E-2</v>
      </c>
    </row>
    <row r="55" spans="1:6">
      <c r="A55" s="214" t="s">
        <v>352</v>
      </c>
      <c r="B55" s="233">
        <v>8.1704331211072984E-2</v>
      </c>
      <c r="C55" s="233">
        <v>7.3664253878053296E-2</v>
      </c>
      <c r="D55" s="233">
        <v>7.6353445011546478E-2</v>
      </c>
      <c r="E55" s="233">
        <v>6.0112838071464114E-2</v>
      </c>
      <c r="F55" s="233">
        <v>7.7511442471880493E-2</v>
      </c>
    </row>
    <row r="56" spans="1:6">
      <c r="A56" s="214" t="s">
        <v>353</v>
      </c>
      <c r="B56" s="233">
        <v>4.7618168517779218E-2</v>
      </c>
      <c r="C56" s="233">
        <v>5.5075610158723809E-2</v>
      </c>
      <c r="D56" s="233">
        <v>7.6390777747556038E-2</v>
      </c>
      <c r="E56" s="233">
        <v>8.6587899283447317E-2</v>
      </c>
      <c r="F56" s="233">
        <v>7.1472147199391781E-2</v>
      </c>
    </row>
    <row r="57" spans="1:6">
      <c r="A57" s="214" t="s">
        <v>354</v>
      </c>
      <c r="B57" s="233">
        <v>1.5758879225001902E-2</v>
      </c>
      <c r="C57" s="233">
        <v>1.9569099631328569E-2</v>
      </c>
      <c r="D57" s="233">
        <v>2.3228961669946615E-2</v>
      </c>
      <c r="E57" s="233">
        <v>2.3031447919917018E-2</v>
      </c>
      <c r="F57" s="233">
        <v>2.3746386386140891E-2</v>
      </c>
    </row>
    <row r="58" spans="1:6">
      <c r="A58" s="214" t="s">
        <v>355</v>
      </c>
      <c r="B58" s="233">
        <v>0.33933166106294554</v>
      </c>
      <c r="C58" s="233">
        <v>0.32053154716943377</v>
      </c>
      <c r="D58" s="233">
        <v>0.30638176455843374</v>
      </c>
      <c r="E58" s="233">
        <v>0.28848764937551125</v>
      </c>
      <c r="F58" s="233">
        <v>0.2490090344178518</v>
      </c>
    </row>
    <row r="59" spans="1:6">
      <c r="A59" s="214" t="s">
        <v>173</v>
      </c>
      <c r="B59" s="233">
        <v>0.19413720770844342</v>
      </c>
      <c r="C59" s="233">
        <v>0.19743430695273301</v>
      </c>
      <c r="D59" s="233">
        <v>0.2039300704522061</v>
      </c>
      <c r="E59" s="233">
        <v>0.21322291281895589</v>
      </c>
      <c r="F59" s="233">
        <v>0.23403342152135059</v>
      </c>
    </row>
    <row r="60" spans="1:6">
      <c r="A60" s="214" t="s">
        <v>174</v>
      </c>
      <c r="B60" s="233">
        <v>2.7594769039767573E-2</v>
      </c>
      <c r="C60" s="233">
        <v>4.2797400791367984E-2</v>
      </c>
      <c r="D60" s="233">
        <v>1.7383721860450233E-2</v>
      </c>
      <c r="E60" s="233">
        <v>1.6869488461787138E-2</v>
      </c>
      <c r="F60" s="233">
        <v>1.6949879980502579E-2</v>
      </c>
    </row>
    <row r="61" spans="1:6">
      <c r="A61" s="214" t="s">
        <v>356</v>
      </c>
      <c r="B61" s="241">
        <v>0.15189814996434695</v>
      </c>
      <c r="C61" s="241">
        <v>0.14364679576002842</v>
      </c>
      <c r="D61" s="241">
        <v>0.14058175069198892</v>
      </c>
      <c r="E61" s="241">
        <v>0.14557066997253543</v>
      </c>
      <c r="F61" s="241">
        <v>0.16871399798281406</v>
      </c>
    </row>
    <row r="62" spans="1:6">
      <c r="B62" s="242">
        <v>1.0000023076408295</v>
      </c>
      <c r="C62" s="242">
        <v>1</v>
      </c>
      <c r="D62" s="242">
        <v>0.99999733337599928</v>
      </c>
      <c r="E62" s="242">
        <v>0.99997188887108512</v>
      </c>
      <c r="F62" s="242">
        <v>1</v>
      </c>
    </row>
    <row r="63" spans="1:6">
      <c r="A63" s="219"/>
    </row>
    <row r="64" spans="1:6">
      <c r="A64" s="219" t="s">
        <v>415</v>
      </c>
    </row>
  </sheetData>
  <mergeCells count="1">
    <mergeCell ref="A1:B1"/>
  </mergeCells>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31.12.2018&amp;C&amp;8&amp;P&amp;R&amp;8__________________________&amp;"-,Italic"____________________________
All amounts are in ISK millions</oddFooter>
  </headerFooter>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G64"/>
  <sheetViews>
    <sheetView zoomScaleNormal="100" zoomScaleSheetLayoutView="85" workbookViewId="0">
      <selection activeCell="H6" sqref="H6"/>
    </sheetView>
  </sheetViews>
  <sheetFormatPr defaultColWidth="9.1796875" defaultRowHeight="14"/>
  <cols>
    <col min="1" max="1" width="57" style="217" bestFit="1" customWidth="1"/>
    <col min="2" max="2" width="10.1796875" style="217" bestFit="1" customWidth="1"/>
    <col min="3" max="6" width="9" style="217" customWidth="1"/>
    <col min="7" max="7" width="40.26953125" style="217" customWidth="1"/>
    <col min="8" max="16384" width="9.1796875" style="217"/>
  </cols>
  <sheetData>
    <row r="1" spans="1:6" ht="27.75" customHeight="1">
      <c r="A1" s="206" t="s">
        <v>365</v>
      </c>
      <c r="B1" s="232">
        <v>0</v>
      </c>
      <c r="C1" s="232">
        <v>4</v>
      </c>
      <c r="D1" s="232">
        <v>8</v>
      </c>
      <c r="E1" s="232">
        <v>12</v>
      </c>
      <c r="F1" s="232">
        <v>16</v>
      </c>
    </row>
    <row r="2" spans="1:6">
      <c r="A2" s="208" t="s">
        <v>319</v>
      </c>
      <c r="B2" s="209">
        <v>2018</v>
      </c>
      <c r="C2" s="209">
        <v>2017</v>
      </c>
      <c r="D2" s="209">
        <v>2016</v>
      </c>
      <c r="E2" s="209">
        <v>2015</v>
      </c>
      <c r="F2" s="209">
        <v>2014</v>
      </c>
    </row>
    <row r="3" spans="1:6">
      <c r="A3" s="210"/>
      <c r="B3" s="211"/>
      <c r="C3" s="211"/>
      <c r="D3" s="211"/>
      <c r="E3" s="211"/>
      <c r="F3" s="211"/>
    </row>
    <row r="4" spans="1:6">
      <c r="A4" s="212" t="s">
        <v>396</v>
      </c>
      <c r="B4" s="211"/>
      <c r="C4" s="211"/>
      <c r="D4" s="211"/>
      <c r="E4" s="211"/>
      <c r="F4" s="211"/>
    </row>
    <row r="5" spans="1:6">
      <c r="A5" s="225" t="s">
        <v>53</v>
      </c>
      <c r="B5" s="236">
        <v>200859.04505350001</v>
      </c>
      <c r="C5" s="236">
        <v>225734</v>
      </c>
      <c r="D5" s="236">
        <v>211384</v>
      </c>
      <c r="E5" s="236">
        <v>201894.51223531002</v>
      </c>
      <c r="F5" s="236">
        <v>162211.78242742998</v>
      </c>
    </row>
    <row r="6" spans="1:6">
      <c r="A6" s="214" t="s">
        <v>420</v>
      </c>
      <c r="B6" s="235">
        <v>-8986</v>
      </c>
      <c r="C6" s="235">
        <v>-8635</v>
      </c>
      <c r="D6" s="235">
        <v>-8126</v>
      </c>
      <c r="E6" s="235">
        <v>0</v>
      </c>
      <c r="F6" s="235">
        <v>0</v>
      </c>
    </row>
    <row r="7" spans="1:6">
      <c r="A7" s="214" t="s">
        <v>424</v>
      </c>
      <c r="B7" s="238">
        <v>-130.32734273</v>
      </c>
      <c r="C7" s="238">
        <v>-128</v>
      </c>
      <c r="D7" s="238">
        <v>-171.85406631999999</v>
      </c>
      <c r="E7" s="238">
        <v>-9108.2969601700006</v>
      </c>
      <c r="F7" s="238">
        <v>-1500.54528484</v>
      </c>
    </row>
    <row r="8" spans="1:6">
      <c r="A8" s="212" t="s">
        <v>405</v>
      </c>
      <c r="B8" s="239">
        <v>191742.71771077003</v>
      </c>
      <c r="C8" s="239">
        <v>216971</v>
      </c>
      <c r="D8" s="239">
        <v>203086.14593368</v>
      </c>
      <c r="E8" s="239">
        <v>192786.21527514001</v>
      </c>
      <c r="F8" s="239">
        <v>160711.23714258999</v>
      </c>
    </row>
    <row r="9" spans="1:6">
      <c r="A9" s="214" t="s">
        <v>17</v>
      </c>
      <c r="B9" s="235">
        <v>-12152</v>
      </c>
      <c r="C9" s="235">
        <v>-11125</v>
      </c>
      <c r="D9" s="235">
        <v>-8201</v>
      </c>
      <c r="E9" s="235">
        <v>-9285</v>
      </c>
      <c r="F9" s="235">
        <v>-9596</v>
      </c>
    </row>
    <row r="10" spans="1:6">
      <c r="A10" s="214" t="s">
        <v>108</v>
      </c>
      <c r="B10" s="235">
        <v>-191</v>
      </c>
      <c r="C10" s="235">
        <v>-357</v>
      </c>
      <c r="D10" s="235">
        <v>-198</v>
      </c>
      <c r="E10" s="235">
        <v>-205</v>
      </c>
      <c r="F10" s="235">
        <v>-655</v>
      </c>
    </row>
    <row r="11" spans="1:6">
      <c r="A11" s="214" t="s">
        <v>406</v>
      </c>
      <c r="B11" s="235">
        <v>-1537</v>
      </c>
      <c r="C11" s="235">
        <v>-25000</v>
      </c>
      <c r="D11" s="235">
        <v>0</v>
      </c>
      <c r="E11" s="235">
        <v>0</v>
      </c>
      <c r="F11" s="235">
        <v>0</v>
      </c>
    </row>
    <row r="12" spans="1:6">
      <c r="A12" s="214" t="s">
        <v>363</v>
      </c>
      <c r="B12" s="238">
        <v>-9069</v>
      </c>
      <c r="C12" s="238">
        <v>146</v>
      </c>
      <c r="D12" s="238">
        <v>-149</v>
      </c>
      <c r="E12" s="238">
        <v>-3151</v>
      </c>
      <c r="F12" s="238">
        <v>-111</v>
      </c>
    </row>
    <row r="13" spans="1:6">
      <c r="A13" s="212" t="s">
        <v>393</v>
      </c>
      <c r="B13" s="238">
        <v>168793.71771077003</v>
      </c>
      <c r="C13" s="238">
        <v>180635</v>
      </c>
      <c r="D13" s="238">
        <v>194538.14593368</v>
      </c>
      <c r="E13" s="238">
        <v>180145.21527514001</v>
      </c>
      <c r="F13" s="238">
        <v>150349.23714258999</v>
      </c>
    </row>
    <row r="14" spans="1:6">
      <c r="A14" s="214" t="s">
        <v>399</v>
      </c>
      <c r="B14" s="238">
        <v>130.32734273</v>
      </c>
      <c r="C14" s="238">
        <v>128</v>
      </c>
      <c r="D14" s="238">
        <v>171.85406631999999</v>
      </c>
      <c r="E14" s="238">
        <v>9108.2969601700006</v>
      </c>
      <c r="F14" s="238">
        <v>1500.54528484</v>
      </c>
    </row>
    <row r="15" spans="1:6">
      <c r="A15" s="212" t="s">
        <v>126</v>
      </c>
      <c r="B15" s="238">
        <v>168924.04505350001</v>
      </c>
      <c r="C15" s="238">
        <v>180763</v>
      </c>
      <c r="D15" s="238">
        <v>194710</v>
      </c>
      <c r="E15" s="238">
        <v>189253.51223531002</v>
      </c>
      <c r="F15" s="238">
        <v>151849.78242742998</v>
      </c>
    </row>
    <row r="16" spans="1:6">
      <c r="A16" s="214" t="s">
        <v>364</v>
      </c>
      <c r="B16" s="235">
        <v>6531.6386470899997</v>
      </c>
      <c r="C16" s="235">
        <v>0</v>
      </c>
      <c r="D16" s="235">
        <v>0</v>
      </c>
      <c r="E16" s="236">
        <v>10364.867906790001</v>
      </c>
      <c r="F16" s="236">
        <v>31639.005507000002</v>
      </c>
    </row>
    <row r="17" spans="1:7">
      <c r="A17" s="214" t="s">
        <v>392</v>
      </c>
      <c r="B17" s="235">
        <v>0</v>
      </c>
      <c r="C17" s="235">
        <v>0</v>
      </c>
      <c r="D17" s="235">
        <v>0</v>
      </c>
      <c r="E17" s="235">
        <v>-771</v>
      </c>
      <c r="F17" s="235">
        <v>0</v>
      </c>
    </row>
    <row r="18" spans="1:7" s="223" customFormat="1">
      <c r="A18" s="214" t="s">
        <v>363</v>
      </c>
      <c r="B18" s="235">
        <v>0</v>
      </c>
      <c r="C18" s="235">
        <v>0</v>
      </c>
      <c r="D18" s="235">
        <v>0</v>
      </c>
      <c r="E18" s="235">
        <v>-3118</v>
      </c>
      <c r="F18" s="235">
        <v>-101</v>
      </c>
      <c r="G18" s="217"/>
    </row>
    <row r="19" spans="1:7" s="223" customFormat="1">
      <c r="A19" s="214" t="s">
        <v>398</v>
      </c>
      <c r="B19" s="235">
        <v>0</v>
      </c>
      <c r="C19" s="235">
        <v>3195</v>
      </c>
      <c r="D19" s="235">
        <v>4557</v>
      </c>
      <c r="E19" s="235">
        <v>0</v>
      </c>
      <c r="F19" s="235">
        <v>0</v>
      </c>
      <c r="G19" s="217"/>
    </row>
    <row r="20" spans="1:7" s="223" customFormat="1">
      <c r="A20" s="212" t="s">
        <v>395</v>
      </c>
      <c r="B20" s="239">
        <v>6531.6386470899997</v>
      </c>
      <c r="C20" s="239">
        <v>3195</v>
      </c>
      <c r="D20" s="239">
        <v>4557</v>
      </c>
      <c r="E20" s="239">
        <v>6475.8679067900011</v>
      </c>
      <c r="F20" s="239">
        <v>31538.005507000002</v>
      </c>
      <c r="G20" s="217"/>
    </row>
    <row r="21" spans="1:7">
      <c r="A21" s="212" t="s">
        <v>315</v>
      </c>
      <c r="B21" s="243">
        <v>175455.68370059002</v>
      </c>
      <c r="C21" s="243">
        <v>183958</v>
      </c>
      <c r="D21" s="243">
        <v>199267</v>
      </c>
      <c r="E21" s="243">
        <v>195729.38014210001</v>
      </c>
      <c r="F21" s="243">
        <v>183387.78793442997</v>
      </c>
    </row>
    <row r="22" spans="1:7">
      <c r="A22" s="214"/>
      <c r="B22" s="233"/>
      <c r="C22" s="233"/>
      <c r="D22" s="233"/>
      <c r="E22" s="233"/>
      <c r="F22" s="233"/>
    </row>
    <row r="23" spans="1:7">
      <c r="A23" s="212" t="s">
        <v>26</v>
      </c>
      <c r="B23" s="235"/>
      <c r="C23" s="235"/>
      <c r="D23" s="235"/>
      <c r="E23" s="235"/>
      <c r="F23" s="235"/>
    </row>
    <row r="24" spans="1:7">
      <c r="A24" s="214" t="s">
        <v>397</v>
      </c>
      <c r="B24" s="236">
        <v>639788</v>
      </c>
      <c r="C24" s="236">
        <v>605058</v>
      </c>
      <c r="D24" s="236">
        <v>577470</v>
      </c>
      <c r="E24" s="236">
        <v>681034</v>
      </c>
      <c r="F24" s="236">
        <v>591994</v>
      </c>
    </row>
    <row r="25" spans="1:7">
      <c r="A25" s="12" t="s">
        <v>421</v>
      </c>
      <c r="B25" s="236">
        <v>50112</v>
      </c>
      <c r="C25" s="236">
        <v>56979</v>
      </c>
      <c r="D25" s="236">
        <v>55036</v>
      </c>
      <c r="E25" s="235">
        <v>0</v>
      </c>
      <c r="F25" s="235">
        <v>0</v>
      </c>
    </row>
    <row r="26" spans="1:7">
      <c r="A26" s="214" t="s">
        <v>422</v>
      </c>
      <c r="B26" s="236">
        <v>4405</v>
      </c>
      <c r="C26" s="236">
        <v>5844</v>
      </c>
      <c r="D26" s="236">
        <v>5550</v>
      </c>
      <c r="E26" s="235">
        <v>0</v>
      </c>
      <c r="F26" s="235">
        <v>0</v>
      </c>
    </row>
    <row r="27" spans="1:7">
      <c r="A27" s="214" t="s">
        <v>401</v>
      </c>
      <c r="B27" s="236">
        <v>4280</v>
      </c>
      <c r="C27" s="236">
        <v>4895</v>
      </c>
      <c r="D27" s="236">
        <v>5449</v>
      </c>
      <c r="E27" s="236">
        <v>38401</v>
      </c>
      <c r="F27" s="236">
        <v>18915</v>
      </c>
    </row>
    <row r="28" spans="1:7">
      <c r="A28" s="214" t="s">
        <v>39</v>
      </c>
      <c r="B28" s="236">
        <v>8928</v>
      </c>
      <c r="C28" s="236">
        <v>5473</v>
      </c>
      <c r="D28" s="236">
        <v>12966</v>
      </c>
      <c r="E28" s="236">
        <v>7035</v>
      </c>
      <c r="F28" s="236">
        <v>2890</v>
      </c>
    </row>
    <row r="29" spans="1:7">
      <c r="A29" s="214" t="s">
        <v>423</v>
      </c>
      <c r="B29" s="236">
        <v>2228</v>
      </c>
      <c r="C29" s="236">
        <v>2506</v>
      </c>
      <c r="D29" s="236">
        <v>2678</v>
      </c>
      <c r="E29" s="235">
        <v>0</v>
      </c>
      <c r="F29" s="235">
        <v>0</v>
      </c>
    </row>
    <row r="30" spans="1:7">
      <c r="A30" s="214" t="s">
        <v>40</v>
      </c>
      <c r="B30" s="243">
        <v>86858</v>
      </c>
      <c r="C30" s="243">
        <v>86013</v>
      </c>
      <c r="D30" s="243">
        <v>86490</v>
      </c>
      <c r="E30" s="243">
        <v>81441</v>
      </c>
      <c r="F30" s="243">
        <v>82211</v>
      </c>
    </row>
    <row r="31" spans="1:7">
      <c r="A31" s="212" t="s">
        <v>381</v>
      </c>
      <c r="B31" s="243">
        <v>796599</v>
      </c>
      <c r="C31" s="243">
        <v>766768</v>
      </c>
      <c r="D31" s="243">
        <v>745639</v>
      </c>
      <c r="E31" s="243">
        <v>807911</v>
      </c>
      <c r="F31" s="243">
        <v>696010</v>
      </c>
    </row>
    <row r="32" spans="1:7">
      <c r="A32" s="229"/>
      <c r="B32" s="236"/>
      <c r="C32" s="236"/>
      <c r="D32" s="236"/>
      <c r="E32" s="236"/>
      <c r="F32" s="236"/>
    </row>
    <row r="33" spans="1:7">
      <c r="A33" s="212" t="s">
        <v>367</v>
      </c>
      <c r="B33" s="237"/>
      <c r="C33" s="233"/>
      <c r="D33" s="233"/>
      <c r="E33" s="233"/>
      <c r="F33" s="233"/>
    </row>
    <row r="34" spans="1:7">
      <c r="A34" s="214" t="s">
        <v>402</v>
      </c>
      <c r="B34" s="233">
        <v>0.2118945842098722</v>
      </c>
      <c r="C34" s="233">
        <v>0.23557973207019595</v>
      </c>
      <c r="D34" s="233">
        <v>0.26100000000000001</v>
      </c>
      <c r="E34" s="233">
        <v>0.223</v>
      </c>
      <c r="F34" s="233">
        <v>0.216</v>
      </c>
      <c r="G34" s="230"/>
    </row>
    <row r="35" spans="1:7">
      <c r="A35" s="214" t="s">
        <v>102</v>
      </c>
      <c r="B35" s="233">
        <v>0.21199999999999999</v>
      </c>
      <c r="C35" s="233">
        <v>0.23599999999999999</v>
      </c>
      <c r="D35" s="233">
        <v>0.26100000000000001</v>
      </c>
      <c r="E35" s="233">
        <v>0.23400000000000001</v>
      </c>
      <c r="F35" s="233">
        <v>0.218</v>
      </c>
    </row>
    <row r="36" spans="1:7">
      <c r="A36" s="214" t="s">
        <v>389</v>
      </c>
      <c r="B36" s="233">
        <v>0.22025718402118252</v>
      </c>
      <c r="C36" s="233">
        <v>0.24</v>
      </c>
      <c r="D36" s="233">
        <v>0.26700000000000002</v>
      </c>
      <c r="E36" s="233">
        <v>0.24199999999999999</v>
      </c>
      <c r="F36" s="233">
        <v>0.26300000000000001</v>
      </c>
    </row>
    <row r="37" spans="1:7">
      <c r="A37" s="214"/>
      <c r="B37" s="233"/>
      <c r="C37" s="233"/>
      <c r="D37" s="233"/>
      <c r="E37" s="233"/>
      <c r="F37" s="233"/>
    </row>
    <row r="38" spans="1:7">
      <c r="A38" s="212" t="s">
        <v>369</v>
      </c>
      <c r="B38" s="233"/>
      <c r="C38" s="233"/>
      <c r="D38" s="233"/>
      <c r="E38" s="233"/>
      <c r="F38" s="233"/>
    </row>
    <row r="39" spans="1:7">
      <c r="A39" s="214" t="s">
        <v>370</v>
      </c>
      <c r="B39" s="236">
        <v>1106368</v>
      </c>
      <c r="C39" s="236">
        <v>1074207</v>
      </c>
      <c r="D39" s="236">
        <v>995063</v>
      </c>
      <c r="E39" s="236">
        <v>982348</v>
      </c>
      <c r="F39" s="236">
        <v>912303</v>
      </c>
    </row>
    <row r="40" spans="1:7">
      <c r="A40" s="214" t="s">
        <v>371</v>
      </c>
      <c r="B40" s="236">
        <v>8239</v>
      </c>
      <c r="C40" s="236">
        <v>10957</v>
      </c>
      <c r="D40" s="236">
        <v>8226</v>
      </c>
      <c r="E40" s="236">
        <v>3789</v>
      </c>
      <c r="F40" s="236">
        <v>1348</v>
      </c>
    </row>
    <row r="41" spans="1:7">
      <c r="A41" s="214" t="s">
        <v>372</v>
      </c>
      <c r="B41" s="236">
        <v>8194</v>
      </c>
      <c r="C41" s="236">
        <v>8925</v>
      </c>
      <c r="D41" s="236">
        <v>9330</v>
      </c>
      <c r="E41" s="236">
        <v>16287</v>
      </c>
      <c r="F41" s="236">
        <v>10044</v>
      </c>
    </row>
    <row r="42" spans="1:7">
      <c r="A42" s="214" t="s">
        <v>373</v>
      </c>
      <c r="B42" s="243">
        <v>68316</v>
      </c>
      <c r="C42" s="243">
        <v>83058</v>
      </c>
      <c r="D42" s="243">
        <v>83156</v>
      </c>
      <c r="E42" s="243">
        <v>127675</v>
      </c>
      <c r="F42" s="243">
        <v>59922</v>
      </c>
    </row>
    <row r="43" spans="1:7">
      <c r="A43" s="212" t="s">
        <v>374</v>
      </c>
      <c r="B43" s="244">
        <v>1191117</v>
      </c>
      <c r="C43" s="244">
        <v>1177147</v>
      </c>
      <c r="D43" s="244">
        <v>1095775</v>
      </c>
      <c r="E43" s="244">
        <v>1130099</v>
      </c>
      <c r="F43" s="244">
        <v>983617</v>
      </c>
    </row>
    <row r="44" spans="1:7">
      <c r="A44" s="212" t="s">
        <v>126</v>
      </c>
      <c r="B44" s="243">
        <v>168924.04505350001</v>
      </c>
      <c r="C44" s="243">
        <v>180763</v>
      </c>
      <c r="D44" s="243">
        <v>194710</v>
      </c>
      <c r="E44" s="243">
        <v>189253.51223531002</v>
      </c>
      <c r="F44" s="243">
        <v>151849.78242742998</v>
      </c>
    </row>
    <row r="45" spans="1:7">
      <c r="A45" s="212" t="s">
        <v>369</v>
      </c>
      <c r="B45" s="233">
        <v>0.14187019411191343</v>
      </c>
      <c r="C45" s="233">
        <v>0.15356026052820931</v>
      </c>
      <c r="D45" s="233">
        <v>0.17769158814537656</v>
      </c>
      <c r="E45" s="233">
        <v>0.16746631245166133</v>
      </c>
      <c r="F45" s="233">
        <v>0.15437897314445559</v>
      </c>
    </row>
    <row r="46" spans="1:7">
      <c r="A46" s="216"/>
      <c r="B46" s="233"/>
      <c r="C46" s="233"/>
      <c r="D46" s="233"/>
      <c r="E46" s="233"/>
      <c r="F46" s="233"/>
    </row>
    <row r="47" spans="1:7">
      <c r="A47" s="212" t="s">
        <v>368</v>
      </c>
      <c r="B47" s="233"/>
      <c r="C47" s="233"/>
      <c r="D47" s="233"/>
      <c r="E47" s="233"/>
      <c r="F47" s="233"/>
    </row>
    <row r="48" spans="1:7">
      <c r="A48" s="214" t="s">
        <v>34</v>
      </c>
      <c r="B48" s="233">
        <v>9.8560037472331091E-3</v>
      </c>
      <c r="C48" s="233">
        <v>1.9145403570873368E-2</v>
      </c>
      <c r="D48" s="233">
        <v>2.8748743788962881E-2</v>
      </c>
      <c r="E48" s="233">
        <v>6.7157145313694711E-2</v>
      </c>
      <c r="F48" s="233">
        <v>4.0049255191697206E-2</v>
      </c>
    </row>
    <row r="49" spans="1:6">
      <c r="A49" s="214" t="s">
        <v>313</v>
      </c>
      <c r="B49" s="233">
        <v>0.68417169570436176</v>
      </c>
      <c r="C49" s="233">
        <v>0.66805954992162397</v>
      </c>
      <c r="D49" s="233">
        <v>0.7271231209751724</v>
      </c>
      <c r="E49" s="233">
        <v>0.79908655264680195</v>
      </c>
      <c r="F49" s="233">
        <v>0.7454042932064997</v>
      </c>
    </row>
    <row r="51" spans="1:6" ht="21" customHeight="1">
      <c r="A51" s="259" t="s">
        <v>408</v>
      </c>
      <c r="B51" s="259"/>
      <c r="C51" s="259"/>
      <c r="D51" s="259"/>
      <c r="E51" s="259"/>
      <c r="F51" s="259"/>
    </row>
    <row r="52" spans="1:6">
      <c r="A52" s="219" t="s">
        <v>407</v>
      </c>
    </row>
    <row r="53" spans="1:6">
      <c r="A53" s="219"/>
    </row>
    <row r="59" spans="1:6">
      <c r="A59" s="216"/>
      <c r="B59" s="215"/>
      <c r="C59" s="215"/>
      <c r="D59" s="215"/>
      <c r="E59" s="215"/>
      <c r="F59" s="215"/>
    </row>
    <row r="60" spans="1:6">
      <c r="B60" s="215"/>
      <c r="C60" s="215"/>
      <c r="D60" s="215"/>
      <c r="E60" s="215"/>
      <c r="F60" s="215"/>
    </row>
    <row r="61" spans="1:6">
      <c r="A61" s="229"/>
      <c r="B61" s="218"/>
      <c r="C61" s="218"/>
      <c r="D61" s="218"/>
      <c r="E61" s="218"/>
      <c r="F61" s="218"/>
    </row>
    <row r="62" spans="1:6">
      <c r="A62" s="216"/>
      <c r="B62" s="215"/>
      <c r="C62" s="215"/>
      <c r="D62" s="215"/>
      <c r="E62" s="215"/>
      <c r="F62" s="215"/>
    </row>
    <row r="63" spans="1:6">
      <c r="A63" s="216"/>
      <c r="B63" s="215"/>
      <c r="C63" s="215"/>
      <c r="D63" s="215"/>
      <c r="E63" s="215"/>
      <c r="F63" s="215"/>
    </row>
    <row r="64" spans="1:6">
      <c r="A64" s="216"/>
      <c r="B64" s="215"/>
      <c r="C64" s="215"/>
      <c r="D64" s="215"/>
      <c r="E64" s="215"/>
      <c r="F64" s="215"/>
    </row>
  </sheetData>
  <mergeCells count="1">
    <mergeCell ref="A51:F51"/>
  </mergeCells>
  <pageMargins left="0.70866141732283472" right="0.70866141732283472" top="0.74803149606299213" bottom="0.74803149606299213" header="0.31496062992125984" footer="0.31496062992125984"/>
  <pageSetup paperSize="9" scale="84" firstPageNumber="8" orientation="portrait" useFirstPageNumber="1" r:id="rId1"/>
  <headerFooter>
    <oddFooter>&amp;L&amp;8______________________________________________________&amp;"-,Italic"
Arion Bank Factbook 31.12.2018&amp;C&amp;8&amp;P&amp;R&amp;8__________________________&amp;"-,Italic"____________________________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sheetPr>
  <dimension ref="A1:K48"/>
  <sheetViews>
    <sheetView zoomScaleNormal="100" zoomScaleSheetLayoutView="100" workbookViewId="0">
      <selection activeCell="H6" sqref="H6"/>
    </sheetView>
  </sheetViews>
  <sheetFormatPr defaultColWidth="9.1796875" defaultRowHeight="14"/>
  <cols>
    <col min="1" max="1" width="42.26953125" style="217" customWidth="1"/>
    <col min="2" max="10" width="9" style="217" customWidth="1"/>
    <col min="11" max="11" width="40.26953125" style="217" customWidth="1"/>
    <col min="12" max="16384" width="9.1796875" style="217"/>
  </cols>
  <sheetData>
    <row r="1" spans="1:11" ht="27.75" customHeight="1">
      <c r="A1" s="206" t="s">
        <v>337</v>
      </c>
      <c r="B1" s="232"/>
      <c r="C1" s="232"/>
      <c r="D1" s="232"/>
      <c r="E1" s="232"/>
      <c r="F1" s="232"/>
      <c r="G1" s="232"/>
      <c r="H1" s="232"/>
      <c r="I1" s="232"/>
      <c r="J1" s="232"/>
    </row>
    <row r="2" spans="1:11">
      <c r="A2" s="208" t="s">
        <v>319</v>
      </c>
      <c r="B2" s="209" t="s">
        <v>280</v>
      </c>
      <c r="C2" s="209" t="s">
        <v>279</v>
      </c>
      <c r="D2" s="209" t="s">
        <v>278</v>
      </c>
      <c r="E2" s="209" t="s">
        <v>277</v>
      </c>
      <c r="F2" s="209" t="s">
        <v>276</v>
      </c>
      <c r="G2" s="209" t="s">
        <v>275</v>
      </c>
      <c r="H2" s="209" t="s">
        <v>274</v>
      </c>
      <c r="I2" s="209" t="s">
        <v>273</v>
      </c>
      <c r="J2" s="209" t="s">
        <v>272</v>
      </c>
    </row>
    <row r="3" spans="1:11">
      <c r="A3" s="210"/>
      <c r="B3" s="211"/>
      <c r="C3" s="211"/>
      <c r="D3" s="211"/>
      <c r="E3" s="211"/>
      <c r="F3" s="211"/>
      <c r="G3" s="211"/>
      <c r="H3" s="211"/>
      <c r="I3" s="211"/>
      <c r="J3" s="211"/>
    </row>
    <row r="4" spans="1:11">
      <c r="A4" s="212" t="s">
        <v>118</v>
      </c>
      <c r="B4" s="213"/>
      <c r="C4" s="213"/>
      <c r="D4" s="213"/>
      <c r="E4" s="213"/>
      <c r="F4" s="213"/>
      <c r="G4" s="213"/>
      <c r="H4" s="213"/>
      <c r="I4" s="213"/>
      <c r="J4" s="213"/>
    </row>
    <row r="5" spans="1:11">
      <c r="A5" s="214" t="s">
        <v>128</v>
      </c>
      <c r="B5" s="245">
        <v>3.2246270202168109E-2</v>
      </c>
      <c r="C5" s="245">
        <v>2.2546733247059216E-2</v>
      </c>
      <c r="D5" s="245">
        <v>5.9474192369410692E-2</v>
      </c>
      <c r="E5" s="245">
        <v>3.6262310204362644E-2</v>
      </c>
      <c r="F5" s="245">
        <v>7.2697719250899587E-2</v>
      </c>
      <c r="G5" s="245">
        <v>-2.0384455258483456E-3</v>
      </c>
      <c r="H5" s="245">
        <v>0.13035905037916237</v>
      </c>
      <c r="I5" s="245">
        <v>6.2915767060052627E-2</v>
      </c>
      <c r="J5" s="245">
        <v>8.5604926379511906E-2</v>
      </c>
    </row>
    <row r="6" spans="1:11">
      <c r="A6" s="214" t="s">
        <v>129</v>
      </c>
      <c r="B6" s="245">
        <v>5.4341862607523161E-3</v>
      </c>
      <c r="C6" s="245">
        <v>3.8445303456016156E-3</v>
      </c>
      <c r="D6" s="245">
        <v>1.0662273558343704E-2</v>
      </c>
      <c r="E6" s="245">
        <v>6.8575958068173293E-3</v>
      </c>
      <c r="F6" s="245">
        <v>1.4263884759894152E-2</v>
      </c>
      <c r="G6" s="245">
        <v>-3.9795649809759581E-4</v>
      </c>
      <c r="H6" s="245">
        <v>2.5578385943024751E-2</v>
      </c>
      <c r="I6" s="245">
        <v>1.2496166082290427E-2</v>
      </c>
      <c r="J6" s="245">
        <v>1.7377008088577117E-2</v>
      </c>
    </row>
    <row r="7" spans="1:11">
      <c r="A7" s="214" t="s">
        <v>339</v>
      </c>
      <c r="B7" s="245">
        <v>8.0624691686015226E-3</v>
      </c>
      <c r="C7" s="245">
        <v>5.734398530716338E-3</v>
      </c>
      <c r="D7" s="245">
        <v>1.5552383903130285E-2</v>
      </c>
      <c r="E7" s="245">
        <v>1.0086986674464371E-2</v>
      </c>
      <c r="F7" s="245">
        <v>2.1120555596317408E-2</v>
      </c>
      <c r="G7" s="245">
        <v>-5.9533970188759564E-4</v>
      </c>
      <c r="H7" s="245">
        <v>3.845356856632362E-2</v>
      </c>
      <c r="I7" s="245">
        <v>1.8116625033182988E-2</v>
      </c>
      <c r="J7" s="245">
        <v>2.3954422896467108E-2</v>
      </c>
    </row>
    <row r="8" spans="1:11">
      <c r="A8" s="214" t="s">
        <v>340</v>
      </c>
      <c r="B8" s="240">
        <v>0.86615118501276722</v>
      </c>
      <c r="C8" s="240">
        <v>0.63</v>
      </c>
      <c r="D8" s="240">
        <v>1.3477717483415379</v>
      </c>
      <c r="E8" s="240">
        <v>1.01</v>
      </c>
      <c r="F8" s="240">
        <v>2.0245000000000002</v>
      </c>
      <c r="G8" s="240">
        <v>-5.7000000000000002E-2</v>
      </c>
      <c r="H8" s="240">
        <v>3.5567286970000005</v>
      </c>
      <c r="I8" s="240">
        <v>1.6757713029999994</v>
      </c>
      <c r="J8" s="240">
        <v>2.1845077849999996</v>
      </c>
    </row>
    <row r="9" spans="1:11">
      <c r="A9" s="214" t="s">
        <v>329</v>
      </c>
      <c r="B9" s="240">
        <v>1.5575085886601809</v>
      </c>
      <c r="C9" s="240">
        <v>0.63</v>
      </c>
      <c r="D9" s="240">
        <v>1.36</v>
      </c>
      <c r="E9" s="240">
        <v>0.95</v>
      </c>
      <c r="F9" s="240">
        <v>2.1274999999999999</v>
      </c>
      <c r="G9" s="240">
        <v>-5.7000000000000002E-2</v>
      </c>
      <c r="H9" s="240">
        <v>3.5567286970000005</v>
      </c>
      <c r="I9" s="240">
        <v>1.6757713029999994</v>
      </c>
      <c r="J9" s="240">
        <v>2.1844999999999999</v>
      </c>
    </row>
    <row r="10" spans="1:11">
      <c r="A10" s="214"/>
      <c r="B10" s="235"/>
      <c r="C10" s="235"/>
      <c r="D10" s="235"/>
      <c r="E10" s="235"/>
      <c r="F10" s="235"/>
      <c r="G10" s="235"/>
      <c r="H10" s="235"/>
      <c r="I10" s="235"/>
      <c r="J10" s="235"/>
    </row>
    <row r="11" spans="1:11">
      <c r="A11" s="212" t="s">
        <v>9</v>
      </c>
      <c r="B11" s="235"/>
      <c r="C11" s="235"/>
      <c r="D11" s="235"/>
      <c r="E11" s="235"/>
      <c r="F11" s="235"/>
      <c r="G11" s="235"/>
      <c r="H11" s="235"/>
      <c r="I11" s="235"/>
      <c r="J11" s="235"/>
    </row>
    <row r="12" spans="1:11" s="223" customFormat="1">
      <c r="A12" s="214" t="s">
        <v>375</v>
      </c>
      <c r="B12" s="233">
        <v>2.877541884850026E-2</v>
      </c>
      <c r="C12" s="233">
        <v>2.6630884572261822E-2</v>
      </c>
      <c r="D12" s="233">
        <v>2.7882214407758978E-2</v>
      </c>
      <c r="E12" s="233">
        <v>2.6520443798945526E-2</v>
      </c>
      <c r="F12" s="233">
        <v>2.7470582685456602E-2</v>
      </c>
      <c r="G12" s="233">
        <v>2.7426298221421716E-2</v>
      </c>
      <c r="H12" s="233">
        <v>3.0880346276732841E-2</v>
      </c>
      <c r="I12" s="233">
        <v>2.8110273777146116E-2</v>
      </c>
      <c r="J12" s="233">
        <v>3.2430325616160077E-2</v>
      </c>
      <c r="K12" s="217"/>
    </row>
    <row r="13" spans="1:11">
      <c r="A13" s="214" t="s">
        <v>341</v>
      </c>
      <c r="B13" s="233">
        <v>2.6743230916679721E-2</v>
      </c>
      <c r="C13" s="233">
        <v>2.4086467914702536E-2</v>
      </c>
      <c r="D13" s="233">
        <v>2.5367076104692507E-2</v>
      </c>
      <c r="E13" s="233">
        <v>2.3959410926587758E-2</v>
      </c>
      <c r="F13" s="233">
        <v>2.4649670828754779E-2</v>
      </c>
      <c r="G13" s="233">
        <v>2.4772108782824379E-2</v>
      </c>
      <c r="H13" s="233">
        <v>2.8209411038658896E-2</v>
      </c>
      <c r="I13" s="233">
        <v>2.5621708917648294E-2</v>
      </c>
      <c r="J13" s="233">
        <v>3.024144103930311E-2</v>
      </c>
    </row>
    <row r="14" spans="1:11">
      <c r="A14" s="216"/>
      <c r="B14" s="233"/>
      <c r="C14" s="233"/>
      <c r="D14" s="233"/>
      <c r="E14" s="233"/>
      <c r="F14" s="233"/>
      <c r="G14" s="233"/>
      <c r="H14" s="233"/>
      <c r="I14" s="233"/>
      <c r="J14" s="233"/>
    </row>
    <row r="15" spans="1:11">
      <c r="A15" s="212" t="s">
        <v>119</v>
      </c>
      <c r="B15" s="233"/>
      <c r="C15" s="233"/>
      <c r="D15" s="233"/>
      <c r="E15" s="233"/>
      <c r="F15" s="233"/>
      <c r="G15" s="233"/>
      <c r="H15" s="233"/>
      <c r="I15" s="233"/>
      <c r="J15" s="233"/>
    </row>
    <row r="16" spans="1:11">
      <c r="A16" s="214" t="s">
        <v>130</v>
      </c>
      <c r="B16" s="233">
        <v>0.60264840182648405</v>
      </c>
      <c r="C16" s="233">
        <v>0.50335965059633803</v>
      </c>
      <c r="D16" s="233">
        <v>0.55393842463014797</v>
      </c>
      <c r="E16" s="233">
        <v>0.62525439407955596</v>
      </c>
      <c r="F16" s="233">
        <v>0.53041903350621555</v>
      </c>
      <c r="G16" s="233">
        <v>0.5989094213874584</v>
      </c>
      <c r="H16" s="233">
        <v>0.30136475501528825</v>
      </c>
      <c r="I16" s="233">
        <v>0.56804629954401964</v>
      </c>
      <c r="J16" s="233">
        <v>0.57878040183292212</v>
      </c>
    </row>
    <row r="17" spans="1:10">
      <c r="A17" s="214" t="s">
        <v>131</v>
      </c>
      <c r="B17" s="233">
        <v>2.2145636945560231E-2</v>
      </c>
      <c r="C17" s="233">
        <v>2.0023609684118784E-2</v>
      </c>
      <c r="D17" s="233">
        <v>2.4024847713591056E-2</v>
      </c>
      <c r="E17" s="233">
        <v>2.3720764384474392E-2</v>
      </c>
      <c r="F17" s="233">
        <v>2.2482705145762606E-2</v>
      </c>
      <c r="G17" s="233">
        <v>2.0890569769789761E-2</v>
      </c>
      <c r="H17" s="233">
        <v>1.4393210859497551E-2</v>
      </c>
      <c r="I17" s="233">
        <v>2.4040763378986914E-2</v>
      </c>
      <c r="J17" s="233">
        <v>3.1656718884422244E-2</v>
      </c>
    </row>
    <row r="18" spans="1:10">
      <c r="A18" s="214" t="s">
        <v>390</v>
      </c>
      <c r="B18" s="236">
        <v>904</v>
      </c>
      <c r="C18" s="236">
        <v>933</v>
      </c>
      <c r="D18" s="236">
        <v>966</v>
      </c>
      <c r="E18" s="236">
        <v>956</v>
      </c>
      <c r="F18" s="236">
        <v>941</v>
      </c>
      <c r="G18" s="236">
        <v>950</v>
      </c>
      <c r="H18" s="236">
        <v>924</v>
      </c>
      <c r="I18" s="236">
        <v>939</v>
      </c>
      <c r="J18" s="236">
        <v>1239</v>
      </c>
    </row>
    <row r="19" spans="1:10">
      <c r="A19" s="214"/>
      <c r="B19" s="233"/>
      <c r="C19" s="233"/>
      <c r="D19" s="233"/>
      <c r="E19" s="233"/>
      <c r="F19" s="233"/>
      <c r="G19" s="233"/>
      <c r="H19" s="233"/>
      <c r="I19" s="233"/>
      <c r="J19" s="233"/>
    </row>
    <row r="20" spans="1:10">
      <c r="A20" s="212" t="s">
        <v>121</v>
      </c>
      <c r="B20" s="233"/>
      <c r="C20" s="233"/>
      <c r="D20" s="233"/>
      <c r="E20" s="233"/>
      <c r="F20" s="233"/>
      <c r="G20" s="233"/>
      <c r="H20" s="233"/>
      <c r="I20" s="233"/>
      <c r="J20" s="233"/>
    </row>
    <row r="21" spans="1:10">
      <c r="A21" s="214" t="s">
        <v>426</v>
      </c>
      <c r="B21" s="233">
        <v>2.5999999999999999E-2</v>
      </c>
      <c r="C21" s="233">
        <v>2.9496113609994889E-2</v>
      </c>
      <c r="D21" s="233">
        <v>2.9758268178119225E-2</v>
      </c>
      <c r="E21" s="233">
        <v>3.3403476193919007E-2</v>
      </c>
      <c r="F21" s="233" t="s">
        <v>112</v>
      </c>
      <c r="G21" s="233" t="s">
        <v>112</v>
      </c>
      <c r="H21" s="233" t="s">
        <v>112</v>
      </c>
      <c r="I21" s="233" t="s">
        <v>112</v>
      </c>
      <c r="J21" s="233" t="s">
        <v>112</v>
      </c>
    </row>
    <row r="22" spans="1:10">
      <c r="A22" s="214" t="s">
        <v>411</v>
      </c>
      <c r="B22" s="233" t="s">
        <v>112</v>
      </c>
      <c r="C22" s="233" t="s">
        <v>112</v>
      </c>
      <c r="D22" s="233" t="s">
        <v>112</v>
      </c>
      <c r="E22" s="233" t="s">
        <v>112</v>
      </c>
      <c r="F22" s="233">
        <v>9.7098291316493942E-3</v>
      </c>
      <c r="G22" s="233">
        <v>1.3582854368449509E-2</v>
      </c>
      <c r="H22" s="233">
        <v>1.3276109111001792E-2</v>
      </c>
      <c r="I22" s="233">
        <v>1.4783437126803486E-2</v>
      </c>
      <c r="J22" s="233">
        <v>1.6422841951052331E-2</v>
      </c>
    </row>
    <row r="23" spans="1:10">
      <c r="A23" s="214" t="s">
        <v>412</v>
      </c>
      <c r="B23" s="233" t="s">
        <v>112</v>
      </c>
      <c r="C23" s="233" t="s">
        <v>112</v>
      </c>
      <c r="D23" s="233" t="s">
        <v>112</v>
      </c>
      <c r="E23" s="233" t="s">
        <v>112</v>
      </c>
      <c r="F23" s="233">
        <v>0.80505556425105651</v>
      </c>
      <c r="G23" s="233">
        <v>0.74607216046699376</v>
      </c>
      <c r="H23" s="233">
        <v>0.75971461332653845</v>
      </c>
      <c r="I23" s="233">
        <v>0.72424000910850506</v>
      </c>
      <c r="J23" s="233">
        <v>0.77363520947947528</v>
      </c>
    </row>
    <row r="24" spans="1:10">
      <c r="A24" s="214" t="s">
        <v>413</v>
      </c>
      <c r="B24" s="233" t="s">
        <v>112</v>
      </c>
      <c r="C24" s="233" t="s">
        <v>112</v>
      </c>
      <c r="D24" s="233" t="s">
        <v>112</v>
      </c>
      <c r="E24" s="233" t="s">
        <v>112</v>
      </c>
      <c r="F24" s="233">
        <v>1.6479491557774947E-2</v>
      </c>
      <c r="G24" s="233">
        <v>2.110592808806741E-2</v>
      </c>
      <c r="H24" s="233">
        <v>2.1054890520739028E-2</v>
      </c>
      <c r="I24" s="233">
        <v>2.3967145118157507E-2</v>
      </c>
      <c r="J24" s="233">
        <v>3.2338720382973654E-2</v>
      </c>
    </row>
    <row r="25" spans="1:10">
      <c r="A25" s="214" t="s">
        <v>414</v>
      </c>
      <c r="B25" s="233" t="s">
        <v>112</v>
      </c>
      <c r="C25" s="233" t="s">
        <v>112</v>
      </c>
      <c r="D25" s="233" t="s">
        <v>112</v>
      </c>
      <c r="E25" s="233" t="s">
        <v>112</v>
      </c>
      <c r="F25" s="233">
        <v>4.202283244001713E-2</v>
      </c>
      <c r="G25" s="233">
        <v>4.9686681232723559E-2</v>
      </c>
      <c r="H25" s="233">
        <v>4.843107668577943E-2</v>
      </c>
      <c r="I25" s="233">
        <v>5.5865578780767339E-2</v>
      </c>
      <c r="J25" s="233">
        <v>4.9411320331242653E-2</v>
      </c>
    </row>
    <row r="26" spans="1:10">
      <c r="A26" s="214" t="s">
        <v>35</v>
      </c>
      <c r="B26" s="233">
        <v>0.68417169570436176</v>
      </c>
      <c r="C26" s="233">
        <v>0.66163225730221253</v>
      </c>
      <c r="D26" s="233">
        <v>0.67760311694312314</v>
      </c>
      <c r="E26" s="233">
        <v>0.68829133059883385</v>
      </c>
      <c r="F26" s="233">
        <v>0.66805954992162397</v>
      </c>
      <c r="G26" s="233">
        <v>0.68370891083149987</v>
      </c>
      <c r="H26" s="233">
        <v>0.67017317448365499</v>
      </c>
      <c r="I26" s="233">
        <v>0.66419945756535737</v>
      </c>
      <c r="J26" s="233">
        <v>0.7271231209751724</v>
      </c>
    </row>
    <row r="27" spans="1:10">
      <c r="A27" s="214"/>
      <c r="B27" s="233"/>
      <c r="C27" s="233"/>
      <c r="D27" s="233"/>
      <c r="E27" s="233"/>
      <c r="F27" s="233"/>
      <c r="G27" s="233"/>
      <c r="H27" s="233"/>
      <c r="I27" s="233"/>
      <c r="J27" s="233"/>
    </row>
    <row r="28" spans="1:10">
      <c r="A28" s="219" t="s">
        <v>427</v>
      </c>
      <c r="B28" s="233"/>
      <c r="C28" s="233"/>
      <c r="D28" s="233"/>
      <c r="E28" s="233"/>
      <c r="F28" s="233"/>
      <c r="G28" s="233"/>
      <c r="H28" s="233"/>
      <c r="I28" s="233"/>
      <c r="J28" s="233"/>
    </row>
    <row r="29" spans="1:10" s="219" customFormat="1">
      <c r="A29" s="219" t="s">
        <v>415</v>
      </c>
      <c r="B29" s="214"/>
      <c r="C29" s="214"/>
      <c r="D29" s="214"/>
      <c r="E29" s="214"/>
      <c r="F29" s="214"/>
      <c r="G29" s="214"/>
      <c r="H29" s="214"/>
      <c r="I29" s="214"/>
      <c r="J29" s="214"/>
    </row>
    <row r="30" spans="1:10">
      <c r="A30" s="214"/>
      <c r="B30" s="233"/>
      <c r="C30" s="233"/>
      <c r="D30" s="233"/>
      <c r="E30" s="233"/>
      <c r="F30" s="233"/>
      <c r="G30" s="237"/>
      <c r="H30" s="237"/>
      <c r="I30" s="237"/>
      <c r="J30" s="237"/>
    </row>
    <row r="31" spans="1:10">
      <c r="A31" s="212" t="s">
        <v>124</v>
      </c>
      <c r="B31" s="233"/>
      <c r="C31" s="233"/>
      <c r="D31" s="233"/>
      <c r="E31" s="233"/>
      <c r="F31" s="233"/>
      <c r="G31" s="237"/>
      <c r="H31" s="237"/>
      <c r="I31" s="237"/>
      <c r="J31" s="237"/>
    </row>
    <row r="32" spans="1:10">
      <c r="A32" s="214" t="s">
        <v>125</v>
      </c>
      <c r="B32" s="233">
        <v>0.17251097911472635</v>
      </c>
      <c r="C32" s="233">
        <v>0.16404322544122293</v>
      </c>
      <c r="D32" s="233">
        <v>0.17673070177615688</v>
      </c>
      <c r="E32" s="233">
        <v>0.18046555280199122</v>
      </c>
      <c r="F32" s="233">
        <v>0.19667369148847133</v>
      </c>
      <c r="G32" s="233">
        <v>0.19365706214718431</v>
      </c>
      <c r="H32" s="233">
        <v>0.19687832379059317</v>
      </c>
      <c r="I32" s="233">
        <v>0.19182728099245108</v>
      </c>
      <c r="J32" s="233">
        <v>0.20403299168185224</v>
      </c>
    </row>
    <row r="33" spans="1:10">
      <c r="A33" s="216"/>
      <c r="B33" s="233"/>
      <c r="C33" s="233"/>
      <c r="D33" s="233"/>
      <c r="E33" s="233"/>
      <c r="F33" s="233"/>
      <c r="G33" s="237"/>
      <c r="H33" s="237"/>
      <c r="I33" s="237"/>
      <c r="J33" s="237"/>
    </row>
    <row r="34" spans="1:10">
      <c r="A34" s="212" t="s">
        <v>120</v>
      </c>
      <c r="B34" s="233"/>
      <c r="C34" s="233"/>
      <c r="D34" s="233"/>
      <c r="E34" s="233"/>
      <c r="F34" s="233"/>
      <c r="G34" s="237"/>
      <c r="H34" s="237"/>
      <c r="I34" s="237"/>
      <c r="J34" s="237"/>
    </row>
    <row r="35" spans="1:10">
      <c r="A35" s="214" t="s">
        <v>317</v>
      </c>
      <c r="B35" s="233">
        <v>1.6439259514287985</v>
      </c>
      <c r="C35" s="233">
        <v>1.6907972713145627</v>
      </c>
      <c r="D35" s="233">
        <v>2.3165914321908398</v>
      </c>
      <c r="E35" s="233">
        <v>2.0987186304612586</v>
      </c>
      <c r="F35" s="233">
        <v>2.2095493666662032</v>
      </c>
      <c r="G35" s="233">
        <v>2.2862442306862789</v>
      </c>
      <c r="H35" s="233">
        <v>2.6624917701459174</v>
      </c>
      <c r="I35" s="233">
        <v>1.6349009704420197</v>
      </c>
      <c r="J35" s="233">
        <v>1.7129474384564205</v>
      </c>
    </row>
    <row r="36" spans="1:10">
      <c r="A36" s="214" t="s">
        <v>43</v>
      </c>
      <c r="B36" s="233">
        <v>1.7890685570924654</v>
      </c>
      <c r="C36" s="233">
        <v>1.692151828433448</v>
      </c>
      <c r="D36" s="233">
        <v>1.6877863278941883</v>
      </c>
      <c r="E36" s="233">
        <v>1.7266083951987996</v>
      </c>
      <c r="F36" s="233">
        <v>1.6554851952761043</v>
      </c>
      <c r="G36" s="233">
        <v>1.6838099215476354</v>
      </c>
      <c r="H36" s="233">
        <v>1.6769324390212679</v>
      </c>
      <c r="I36" s="233">
        <v>1.5141628375368212</v>
      </c>
      <c r="J36" s="233">
        <v>1.728913690280711</v>
      </c>
    </row>
    <row r="37" spans="1:10">
      <c r="A37" s="214" t="s">
        <v>241</v>
      </c>
      <c r="B37" s="233">
        <v>1.3571374215373928</v>
      </c>
      <c r="C37" s="233">
        <v>1.3021002341113321</v>
      </c>
      <c r="D37" s="233">
        <v>1.3034019656971181</v>
      </c>
      <c r="E37" s="233">
        <v>1.3437838803227291</v>
      </c>
      <c r="F37" s="233">
        <v>1.2898551837005994</v>
      </c>
      <c r="G37" s="233">
        <v>1.2938064961870519</v>
      </c>
      <c r="H37" s="233">
        <v>1.2820383138673386</v>
      </c>
      <c r="I37" s="233">
        <v>1.1650171333834394</v>
      </c>
      <c r="J37" s="233">
        <v>1.337525063801116</v>
      </c>
    </row>
    <row r="38" spans="1:10">
      <c r="A38" s="214" t="s">
        <v>122</v>
      </c>
      <c r="B38" s="233">
        <v>0.52188333516226337</v>
      </c>
      <c r="C38" s="233">
        <v>0.52355155454521873</v>
      </c>
      <c r="D38" s="233">
        <v>0.53306018728415583</v>
      </c>
      <c r="E38" s="233">
        <v>0.52571850284059263</v>
      </c>
      <c r="F38" s="233">
        <v>0.54083341427422937</v>
      </c>
      <c r="G38" s="233">
        <v>0.52254177592497553</v>
      </c>
      <c r="H38" s="233">
        <v>0.53016495475014425</v>
      </c>
      <c r="I38" s="233">
        <v>0.56224814146278612</v>
      </c>
      <c r="J38" s="233">
        <v>0.53897165578852357</v>
      </c>
    </row>
    <row r="39" spans="1:10">
      <c r="A39" s="214" t="s">
        <v>123</v>
      </c>
      <c r="B39" s="233">
        <v>0.22541638019649426</v>
      </c>
      <c r="C39" s="233">
        <v>0.20421179328049233</v>
      </c>
      <c r="D39" s="233">
        <v>0.20490095657089763</v>
      </c>
      <c r="E39" s="233">
        <v>0.2012573799710371</v>
      </c>
      <c r="F39" s="233">
        <v>0.19774543522602403</v>
      </c>
      <c r="G39" s="233">
        <v>0.20379340161831178</v>
      </c>
      <c r="H39" s="233">
        <v>0.20936116995235071</v>
      </c>
      <c r="I39" s="233">
        <v>0.19630692195030269</v>
      </c>
      <c r="J39" s="233">
        <v>0.21094921062613628</v>
      </c>
    </row>
    <row r="40" spans="1:10">
      <c r="B40" s="233"/>
      <c r="C40" s="233"/>
      <c r="D40" s="233"/>
      <c r="E40" s="233"/>
      <c r="F40" s="233"/>
      <c r="G40" s="237"/>
      <c r="H40" s="237"/>
      <c r="I40" s="237"/>
      <c r="J40" s="237"/>
    </row>
    <row r="41" spans="1:10">
      <c r="A41" s="212" t="s">
        <v>342</v>
      </c>
      <c r="B41" s="237"/>
      <c r="C41" s="237"/>
      <c r="D41" s="237"/>
      <c r="E41" s="237"/>
      <c r="F41" s="237"/>
      <c r="G41" s="237"/>
      <c r="H41" s="237"/>
      <c r="I41" s="237"/>
      <c r="J41" s="237"/>
    </row>
    <row r="42" spans="1:10">
      <c r="A42" s="214" t="s">
        <v>366</v>
      </c>
      <c r="B42" s="233">
        <v>0.2121318254228288</v>
      </c>
      <c r="C42" s="233">
        <v>0.216</v>
      </c>
      <c r="D42" s="233">
        <v>0.21815634718959695</v>
      </c>
      <c r="E42" s="233">
        <v>0.23566971312967758</v>
      </c>
      <c r="F42" s="233">
        <v>0.23557973207019595</v>
      </c>
      <c r="G42" s="233">
        <v>0.26558871577567944</v>
      </c>
      <c r="H42" s="233">
        <v>0.27743952171933361</v>
      </c>
      <c r="I42" s="233">
        <v>0.27267350297174359</v>
      </c>
      <c r="J42" s="233">
        <v>0.26100000000000001</v>
      </c>
    </row>
    <row r="43" spans="1:10">
      <c r="A43" s="214" t="s">
        <v>102</v>
      </c>
      <c r="B43" s="233">
        <v>0.2121318254228288</v>
      </c>
      <c r="C43" s="233">
        <v>0.217</v>
      </c>
      <c r="D43" s="233">
        <v>0.219</v>
      </c>
      <c r="E43" s="233">
        <v>0.23599999999999999</v>
      </c>
      <c r="F43" s="233">
        <v>0.23599999999999999</v>
      </c>
      <c r="G43" s="233">
        <v>0.26900000000000002</v>
      </c>
      <c r="H43" s="233">
        <v>0.27800000000000002</v>
      </c>
      <c r="I43" s="233">
        <v>0.27300000000000002</v>
      </c>
      <c r="J43" s="233">
        <v>0.26600000000000001</v>
      </c>
    </row>
    <row r="44" spans="1:10">
      <c r="A44" s="214" t="s">
        <v>111</v>
      </c>
      <c r="B44" s="233">
        <v>7.8681745771712053E-3</v>
      </c>
      <c r="C44" s="233">
        <v>-5.5448815189373946E-6</v>
      </c>
      <c r="D44" s="233">
        <v>-1.5575860656869001E-4</v>
      </c>
      <c r="E44" s="233">
        <v>-2.6375056804614494E-4</v>
      </c>
      <c r="F44" s="233">
        <v>4.3873922751079819E-3</v>
      </c>
      <c r="G44" s="233">
        <v>5.2547901873660208E-3</v>
      </c>
      <c r="H44" s="233">
        <v>6.3324661011111005E-3</v>
      </c>
      <c r="I44" s="233">
        <v>6.4030989632498647E-3</v>
      </c>
      <c r="J44" s="233">
        <v>6.4560995489288953E-3</v>
      </c>
    </row>
    <row r="45" spans="1:10">
      <c r="A45" s="214" t="s">
        <v>391</v>
      </c>
      <c r="B45" s="233">
        <v>0.22</v>
      </c>
      <c r="C45" s="233">
        <v>0.217</v>
      </c>
      <c r="D45" s="233">
        <v>0.21884424139343131</v>
      </c>
      <c r="E45" s="233">
        <v>0.23573624943195384</v>
      </c>
      <c r="F45" s="233">
        <v>0.24038739227510797</v>
      </c>
      <c r="G45" s="233">
        <v>0.27425479018736604</v>
      </c>
      <c r="H45" s="233">
        <v>0.28433246610111113</v>
      </c>
      <c r="I45" s="233">
        <v>0.27940309896324989</v>
      </c>
      <c r="J45" s="233">
        <v>0.27245609954892891</v>
      </c>
    </row>
    <row r="46" spans="1:10">
      <c r="A46" s="214" t="s">
        <v>369</v>
      </c>
      <c r="B46" s="233">
        <v>0.14187019411191343</v>
      </c>
      <c r="C46" s="233">
        <v>0.13800000000000001</v>
      </c>
      <c r="D46" s="233">
        <v>0.14299277617753012</v>
      </c>
      <c r="E46" s="233">
        <v>0.154</v>
      </c>
      <c r="F46" s="233">
        <v>0.154</v>
      </c>
      <c r="G46" s="233">
        <v>0.16832127882217837</v>
      </c>
      <c r="H46" s="233">
        <v>0.17382704951204464</v>
      </c>
      <c r="I46" s="233">
        <v>0.17033548119800695</v>
      </c>
      <c r="J46" s="233">
        <v>0.17981890373204296</v>
      </c>
    </row>
    <row r="48" spans="1:10">
      <c r="A48" s="219"/>
    </row>
  </sheetData>
  <pageMargins left="0.70866141732283472" right="0.70866141732283472" top="0.74803149606299213" bottom="0.74803149606299213" header="0.31496062992125984" footer="0.31496062992125984"/>
  <pageSetup paperSize="9" firstPageNumber="9" fitToHeight="2" orientation="landscape" useFirstPageNumber="1" r:id="rId1"/>
  <headerFooter>
    <oddFooter xml:space="preserve">&amp;L&amp;8______________________________________________________
&amp;"-,Italic"Arion Bank Factbook 31.12.2018&amp;C&amp;8&amp;P&amp;R&amp;8______________________________________________________
</oddFooter>
  </headerFooter>
  <rowBreaks count="1" manualBreakCount="1">
    <brk id="3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pageSetUpPr fitToPage="1"/>
  </sheetPr>
  <dimension ref="A1:R48"/>
  <sheetViews>
    <sheetView zoomScaleNormal="100" workbookViewId="0"/>
  </sheetViews>
  <sheetFormatPr defaultColWidth="9.1796875" defaultRowHeight="14"/>
  <cols>
    <col min="1" max="1" width="45.7265625" style="217" customWidth="1"/>
    <col min="2" max="17" width="9.1796875" style="217"/>
    <col min="18" max="18" width="12" style="217" bestFit="1" customWidth="1"/>
    <col min="19" max="16384" width="9.1796875" style="217"/>
  </cols>
  <sheetData>
    <row r="1" spans="1:10" ht="27.75" customHeight="1">
      <c r="A1" s="206" t="s">
        <v>333</v>
      </c>
      <c r="B1" s="208"/>
      <c r="C1" s="232"/>
      <c r="D1" s="232"/>
      <c r="E1" s="232"/>
      <c r="F1" s="232"/>
      <c r="G1" s="232"/>
      <c r="H1" s="232"/>
      <c r="I1" s="232"/>
      <c r="J1" s="232"/>
    </row>
    <row r="2" spans="1:10">
      <c r="A2" s="208" t="s">
        <v>319</v>
      </c>
      <c r="B2" s="209" t="s">
        <v>280</v>
      </c>
      <c r="C2" s="209" t="s">
        <v>279</v>
      </c>
      <c r="D2" s="209" t="s">
        <v>278</v>
      </c>
      <c r="E2" s="209" t="s">
        <v>277</v>
      </c>
      <c r="F2" s="209" t="s">
        <v>276</v>
      </c>
      <c r="G2" s="209" t="s">
        <v>275</v>
      </c>
      <c r="H2" s="209" t="s">
        <v>274</v>
      </c>
      <c r="I2" s="209" t="s">
        <v>273</v>
      </c>
      <c r="J2" s="209" t="s">
        <v>272</v>
      </c>
    </row>
    <row r="3" spans="1:10">
      <c r="A3" s="210"/>
      <c r="B3" s="211"/>
      <c r="C3" s="211"/>
      <c r="D3" s="211"/>
      <c r="E3" s="211"/>
      <c r="F3" s="211"/>
      <c r="G3" s="211"/>
      <c r="H3" s="211"/>
      <c r="I3" s="211"/>
      <c r="J3" s="211"/>
    </row>
    <row r="4" spans="1:10">
      <c r="A4" s="214" t="s">
        <v>83</v>
      </c>
      <c r="B4" s="235">
        <v>16349</v>
      </c>
      <c r="C4" s="235">
        <v>14933</v>
      </c>
      <c r="D4" s="235">
        <v>13990</v>
      </c>
      <c r="E4" s="235">
        <v>14044</v>
      </c>
      <c r="F4" s="235">
        <v>13545</v>
      </c>
      <c r="G4" s="235">
        <v>13199</v>
      </c>
      <c r="H4" s="235">
        <v>15862</v>
      </c>
      <c r="I4" s="235">
        <v>13422</v>
      </c>
      <c r="J4" s="235">
        <v>15409</v>
      </c>
    </row>
    <row r="5" spans="1:10">
      <c r="A5" s="214" t="s">
        <v>84</v>
      </c>
      <c r="B5" s="238">
        <v>-8380</v>
      </c>
      <c r="C5" s="238">
        <v>-7724</v>
      </c>
      <c r="D5" s="238">
        <v>-6676</v>
      </c>
      <c r="E5" s="238">
        <v>-7217</v>
      </c>
      <c r="F5" s="238">
        <v>-6481</v>
      </c>
      <c r="G5" s="238">
        <v>-6166</v>
      </c>
      <c r="H5" s="238">
        <v>-7942</v>
      </c>
      <c r="I5" s="238">
        <v>-6518</v>
      </c>
      <c r="J5" s="238">
        <v>-7567</v>
      </c>
    </row>
    <row r="6" spans="1:10">
      <c r="A6" s="212" t="s">
        <v>0</v>
      </c>
      <c r="B6" s="239">
        <v>7969</v>
      </c>
      <c r="C6" s="239">
        <v>7209</v>
      </c>
      <c r="D6" s="239">
        <v>7314</v>
      </c>
      <c r="E6" s="239">
        <v>6827</v>
      </c>
      <c r="F6" s="239">
        <v>7064</v>
      </c>
      <c r="G6" s="239">
        <v>7033</v>
      </c>
      <c r="H6" s="239">
        <v>7920</v>
      </c>
      <c r="I6" s="239">
        <v>6904</v>
      </c>
      <c r="J6" s="239">
        <v>7842</v>
      </c>
    </row>
    <row r="7" spans="1:10">
      <c r="A7" s="214" t="s">
        <v>321</v>
      </c>
      <c r="B7" s="235">
        <v>3064</v>
      </c>
      <c r="C7" s="235">
        <v>2991</v>
      </c>
      <c r="D7" s="235">
        <v>3028</v>
      </c>
      <c r="E7" s="235">
        <v>2575</v>
      </c>
      <c r="F7" s="235">
        <v>3475</v>
      </c>
      <c r="G7" s="235">
        <v>2843</v>
      </c>
      <c r="H7" s="235">
        <v>2793</v>
      </c>
      <c r="I7" s="235">
        <v>2508</v>
      </c>
      <c r="J7" s="235">
        <v>6451</v>
      </c>
    </row>
    <row r="8" spans="1:10">
      <c r="A8" s="214" t="s">
        <v>322</v>
      </c>
      <c r="B8" s="238">
        <v>-318</v>
      </c>
      <c r="C8" s="238">
        <v>-304</v>
      </c>
      <c r="D8" s="238">
        <v>-316</v>
      </c>
      <c r="E8" s="238">
        <v>-370</v>
      </c>
      <c r="F8" s="238">
        <v>-351</v>
      </c>
      <c r="G8" s="238">
        <v>-364</v>
      </c>
      <c r="H8" s="238">
        <v>-383</v>
      </c>
      <c r="I8" s="238">
        <v>-310</v>
      </c>
      <c r="J8" s="238">
        <v>-2686</v>
      </c>
    </row>
    <row r="9" spans="1:10">
      <c r="A9" s="212" t="s">
        <v>320</v>
      </c>
      <c r="B9" s="239">
        <v>2746</v>
      </c>
      <c r="C9" s="239">
        <v>2687</v>
      </c>
      <c r="D9" s="239">
        <v>2712</v>
      </c>
      <c r="E9" s="239">
        <v>2205</v>
      </c>
      <c r="F9" s="239">
        <v>3124</v>
      </c>
      <c r="G9" s="239">
        <v>2479</v>
      </c>
      <c r="H9" s="239">
        <v>2410</v>
      </c>
      <c r="I9" s="239">
        <v>2198</v>
      </c>
      <c r="J9" s="239">
        <v>3765</v>
      </c>
    </row>
    <row r="10" spans="1:10">
      <c r="A10" s="214" t="s">
        <v>2</v>
      </c>
      <c r="B10" s="235">
        <v>-774</v>
      </c>
      <c r="C10" s="235">
        <v>570</v>
      </c>
      <c r="D10" s="235">
        <v>1119</v>
      </c>
      <c r="E10" s="235">
        <v>1387</v>
      </c>
      <c r="F10" s="235">
        <v>1555</v>
      </c>
      <c r="G10" s="235">
        <v>-687</v>
      </c>
      <c r="H10" s="235">
        <v>1744</v>
      </c>
      <c r="I10" s="235">
        <v>1433</v>
      </c>
      <c r="J10" s="235">
        <v>823</v>
      </c>
    </row>
    <row r="11" spans="1:10">
      <c r="A11" s="214" t="s">
        <v>400</v>
      </c>
      <c r="B11" s="235">
        <v>704</v>
      </c>
      <c r="C11" s="235">
        <v>984</v>
      </c>
      <c r="D11" s="235">
        <v>758</v>
      </c>
      <c r="E11" s="235">
        <v>143</v>
      </c>
      <c r="F11" s="235">
        <v>324</v>
      </c>
      <c r="G11" s="235">
        <v>716</v>
      </c>
      <c r="H11" s="235">
        <v>606</v>
      </c>
      <c r="I11" s="235">
        <v>447</v>
      </c>
      <c r="J11" s="235">
        <v>731</v>
      </c>
    </row>
    <row r="12" spans="1:10">
      <c r="A12" s="214" t="s">
        <v>394</v>
      </c>
      <c r="B12" s="235">
        <v>11</v>
      </c>
      <c r="C12" s="235">
        <v>34</v>
      </c>
      <c r="D12" s="235">
        <v>2</v>
      </c>
      <c r="E12" s="235">
        <v>-20</v>
      </c>
      <c r="F12" s="235">
        <v>-10</v>
      </c>
      <c r="G12" s="235">
        <v>17</v>
      </c>
      <c r="H12" s="235">
        <v>-900</v>
      </c>
      <c r="I12" s="235">
        <v>-34</v>
      </c>
      <c r="J12" s="235">
        <v>198</v>
      </c>
    </row>
    <row r="13" spans="1:10">
      <c r="A13" s="214" t="s">
        <v>10</v>
      </c>
      <c r="B13" s="238">
        <v>294</v>
      </c>
      <c r="C13" s="238">
        <v>422</v>
      </c>
      <c r="D13" s="238">
        <v>600</v>
      </c>
      <c r="E13" s="238">
        <v>268</v>
      </c>
      <c r="F13" s="238">
        <v>90</v>
      </c>
      <c r="G13" s="238">
        <v>345</v>
      </c>
      <c r="H13" s="238">
        <v>1629</v>
      </c>
      <c r="I13" s="238">
        <v>456</v>
      </c>
      <c r="J13" s="238">
        <v>826</v>
      </c>
    </row>
    <row r="14" spans="1:10">
      <c r="A14" s="212" t="s">
        <v>4</v>
      </c>
      <c r="B14" s="235">
        <v>10950</v>
      </c>
      <c r="C14" s="235">
        <v>11906</v>
      </c>
      <c r="D14" s="235">
        <v>12505</v>
      </c>
      <c r="E14" s="235">
        <v>10810</v>
      </c>
      <c r="F14" s="235">
        <v>12147</v>
      </c>
      <c r="G14" s="235">
        <v>9903</v>
      </c>
      <c r="H14" s="235">
        <v>13409</v>
      </c>
      <c r="I14" s="235">
        <v>11404</v>
      </c>
      <c r="J14" s="235">
        <v>14185</v>
      </c>
    </row>
    <row r="15" spans="1:10" ht="18" customHeight="1">
      <c r="A15" s="214" t="s">
        <v>318</v>
      </c>
      <c r="B15" s="235">
        <v>-3584</v>
      </c>
      <c r="C15" s="235">
        <v>-3129</v>
      </c>
      <c r="D15" s="235">
        <v>-3949</v>
      </c>
      <c r="E15" s="235">
        <v>-3616</v>
      </c>
      <c r="F15" s="235">
        <v>-3461</v>
      </c>
      <c r="G15" s="235">
        <v>-3054</v>
      </c>
      <c r="H15" s="235">
        <v>-3650</v>
      </c>
      <c r="I15" s="235">
        <v>-3437</v>
      </c>
      <c r="J15" s="235">
        <v>-4407</v>
      </c>
    </row>
    <row r="16" spans="1:10">
      <c r="A16" s="214" t="s">
        <v>6</v>
      </c>
      <c r="B16" s="235">
        <v>-3015</v>
      </c>
      <c r="C16" s="235">
        <v>-2864</v>
      </c>
      <c r="D16" s="235">
        <v>-2978</v>
      </c>
      <c r="E16" s="235">
        <v>-3143</v>
      </c>
      <c r="F16" s="235">
        <v>-2982</v>
      </c>
      <c r="G16" s="235">
        <v>-2877</v>
      </c>
      <c r="H16" s="235">
        <v>-391</v>
      </c>
      <c r="I16" s="235">
        <v>-3041</v>
      </c>
      <c r="J16" s="235">
        <v>-3803</v>
      </c>
    </row>
    <row r="17" spans="1:18">
      <c r="A17" s="212" t="s">
        <v>286</v>
      </c>
      <c r="B17" s="239">
        <v>-6599</v>
      </c>
      <c r="C17" s="239">
        <v>-5993</v>
      </c>
      <c r="D17" s="239">
        <v>-6927</v>
      </c>
      <c r="E17" s="239">
        <v>-6759</v>
      </c>
      <c r="F17" s="239">
        <v>-6443</v>
      </c>
      <c r="G17" s="239">
        <v>-5931</v>
      </c>
      <c r="H17" s="239">
        <v>-4041</v>
      </c>
      <c r="I17" s="239">
        <v>-6478</v>
      </c>
      <c r="J17" s="239">
        <v>-8210</v>
      </c>
    </row>
    <row r="18" spans="1:18">
      <c r="A18" s="214" t="s">
        <v>41</v>
      </c>
      <c r="B18" s="235">
        <v>-765</v>
      </c>
      <c r="C18" s="235">
        <v>-938</v>
      </c>
      <c r="D18" s="235">
        <v>-879</v>
      </c>
      <c r="E18" s="235">
        <v>-804</v>
      </c>
      <c r="F18" s="235">
        <v>-784</v>
      </c>
      <c r="G18" s="235">
        <v>-814</v>
      </c>
      <c r="H18" s="235">
        <v>-777</v>
      </c>
      <c r="I18" s="235">
        <v>-797</v>
      </c>
      <c r="J18" s="235">
        <v>-682</v>
      </c>
    </row>
    <row r="19" spans="1:18">
      <c r="A19" s="214" t="s">
        <v>323</v>
      </c>
      <c r="B19" s="238">
        <v>-573</v>
      </c>
      <c r="C19" s="238">
        <v>-2651</v>
      </c>
      <c r="D19" s="238">
        <v>-166</v>
      </c>
      <c r="E19" s="238">
        <v>-135</v>
      </c>
      <c r="F19" s="238">
        <v>1504</v>
      </c>
      <c r="G19" s="238">
        <v>-2500</v>
      </c>
      <c r="H19" s="238">
        <v>401</v>
      </c>
      <c r="I19" s="238">
        <v>907</v>
      </c>
      <c r="J19" s="238">
        <v>409</v>
      </c>
    </row>
    <row r="20" spans="1:18">
      <c r="A20" s="212" t="s">
        <v>324</v>
      </c>
      <c r="B20" s="235">
        <v>3013</v>
      </c>
      <c r="C20" s="235">
        <v>2324</v>
      </c>
      <c r="D20" s="235">
        <v>4533</v>
      </c>
      <c r="E20" s="235">
        <v>3112</v>
      </c>
      <c r="F20" s="235">
        <v>6424</v>
      </c>
      <c r="G20" s="235">
        <v>658</v>
      </c>
      <c r="H20" s="235">
        <v>8992</v>
      </c>
      <c r="I20" s="235">
        <v>5036</v>
      </c>
      <c r="J20" s="235">
        <v>5702</v>
      </c>
    </row>
    <row r="21" spans="1:18" ht="18" customHeight="1">
      <c r="A21" s="214" t="s">
        <v>403</v>
      </c>
      <c r="B21" s="238">
        <v>-881</v>
      </c>
      <c r="C21" s="238">
        <v>-973</v>
      </c>
      <c r="D21" s="238">
        <v>-1302</v>
      </c>
      <c r="E21" s="238">
        <v>-890</v>
      </c>
      <c r="F21" s="238">
        <v>-1957</v>
      </c>
      <c r="G21" s="238">
        <v>-713</v>
      </c>
      <c r="H21" s="238">
        <v>-1891</v>
      </c>
      <c r="I21" s="238">
        <v>-1405</v>
      </c>
      <c r="J21" s="238">
        <v>-1227</v>
      </c>
    </row>
    <row r="22" spans="1:18" s="223" customFormat="1">
      <c r="A22" s="212" t="s">
        <v>325</v>
      </c>
      <c r="B22" s="235">
        <v>2132</v>
      </c>
      <c r="C22" s="235">
        <v>1351</v>
      </c>
      <c r="D22" s="235">
        <v>3231</v>
      </c>
      <c r="E22" s="235">
        <v>2222</v>
      </c>
      <c r="F22" s="235">
        <v>4467</v>
      </c>
      <c r="G22" s="235">
        <v>-55</v>
      </c>
      <c r="H22" s="235">
        <v>7101</v>
      </c>
      <c r="I22" s="235">
        <v>3631</v>
      </c>
      <c r="J22" s="235">
        <v>4475</v>
      </c>
    </row>
    <row r="23" spans="1:18">
      <c r="A23" s="214" t="s">
        <v>326</v>
      </c>
      <c r="B23" s="238">
        <v>-516</v>
      </c>
      <c r="C23" s="238">
        <v>-201</v>
      </c>
      <c r="D23" s="238">
        <v>-169</v>
      </c>
      <c r="E23" s="238">
        <v>-273</v>
      </c>
      <c r="F23" s="238">
        <v>-401</v>
      </c>
      <c r="G23" s="238">
        <v>-58</v>
      </c>
      <c r="H23" s="238">
        <v>12</v>
      </c>
      <c r="I23" s="238">
        <v>-278</v>
      </c>
      <c r="J23" s="238">
        <v>0</v>
      </c>
      <c r="R23" s="231"/>
    </row>
    <row r="24" spans="1:18">
      <c r="A24" s="212" t="s">
        <v>8</v>
      </c>
      <c r="B24" s="239">
        <v>1616</v>
      </c>
      <c r="C24" s="239">
        <v>1150</v>
      </c>
      <c r="D24" s="239">
        <v>3062</v>
      </c>
      <c r="E24" s="239">
        <v>1949</v>
      </c>
      <c r="F24" s="239">
        <v>4066</v>
      </c>
      <c r="G24" s="239">
        <v>-113</v>
      </c>
      <c r="H24" s="239">
        <v>7113</v>
      </c>
      <c r="I24" s="239">
        <v>3353</v>
      </c>
      <c r="J24" s="239">
        <v>4475</v>
      </c>
    </row>
    <row r="25" spans="1:18" ht="1.5" customHeight="1">
      <c r="A25" s="212"/>
      <c r="B25" s="239"/>
      <c r="C25" s="239"/>
      <c r="D25" s="239"/>
      <c r="E25" s="239"/>
      <c r="F25" s="239"/>
      <c r="G25" s="239"/>
      <c r="H25" s="239"/>
      <c r="I25" s="239"/>
      <c r="J25" s="239"/>
    </row>
    <row r="26" spans="1:18">
      <c r="A26" s="225"/>
      <c r="B26" s="235"/>
      <c r="C26" s="235"/>
      <c r="D26" s="235"/>
      <c r="E26" s="235"/>
      <c r="F26" s="235"/>
      <c r="G26" s="235"/>
      <c r="H26" s="235"/>
      <c r="I26" s="235"/>
      <c r="J26" s="235"/>
      <c r="N26" s="221"/>
      <c r="O26" s="221"/>
      <c r="P26" s="221"/>
      <c r="Q26" s="221"/>
      <c r="R26" s="221"/>
    </row>
    <row r="27" spans="1:18">
      <c r="A27" s="212" t="s">
        <v>327</v>
      </c>
      <c r="B27" s="235"/>
      <c r="C27" s="235"/>
      <c r="D27" s="235"/>
      <c r="E27" s="235"/>
      <c r="F27" s="235"/>
      <c r="G27" s="235"/>
      <c r="H27" s="235"/>
      <c r="I27" s="235"/>
      <c r="J27" s="235"/>
    </row>
    <row r="28" spans="1:18">
      <c r="A28" s="214" t="s">
        <v>96</v>
      </c>
      <c r="B28" s="235">
        <v>1567</v>
      </c>
      <c r="C28" s="235">
        <v>1151</v>
      </c>
      <c r="D28" s="235">
        <v>2449</v>
      </c>
      <c r="E28" s="235">
        <v>1949</v>
      </c>
      <c r="F28" s="235">
        <v>4049</v>
      </c>
      <c r="G28" s="235">
        <v>-114</v>
      </c>
      <c r="H28" s="235">
        <v>7112</v>
      </c>
      <c r="I28" s="235">
        <v>3352</v>
      </c>
      <c r="J28" s="235">
        <v>4369</v>
      </c>
    </row>
    <row r="29" spans="1:18">
      <c r="A29" s="214" t="s">
        <v>328</v>
      </c>
      <c r="B29" s="238">
        <v>49</v>
      </c>
      <c r="C29" s="238">
        <v>-1</v>
      </c>
      <c r="D29" s="238">
        <v>613</v>
      </c>
      <c r="E29" s="238">
        <v>0</v>
      </c>
      <c r="F29" s="238">
        <v>17</v>
      </c>
      <c r="G29" s="238">
        <v>1</v>
      </c>
      <c r="H29" s="238">
        <v>1</v>
      </c>
      <c r="I29" s="238">
        <v>1</v>
      </c>
      <c r="J29" s="238">
        <v>106</v>
      </c>
    </row>
    <row r="30" spans="1:18">
      <c r="A30" s="212" t="s">
        <v>8</v>
      </c>
      <c r="B30" s="235">
        <v>1616</v>
      </c>
      <c r="C30" s="235">
        <v>1150</v>
      </c>
      <c r="D30" s="235">
        <v>3062</v>
      </c>
      <c r="E30" s="235">
        <v>1949</v>
      </c>
      <c r="F30" s="235">
        <v>4066</v>
      </c>
      <c r="G30" s="235">
        <v>-113</v>
      </c>
      <c r="H30" s="235">
        <v>7113</v>
      </c>
      <c r="I30" s="235">
        <v>3353</v>
      </c>
      <c r="J30" s="235">
        <v>4475</v>
      </c>
    </row>
    <row r="31" spans="1:18">
      <c r="A31" s="212"/>
      <c r="B31" s="235"/>
      <c r="C31" s="235"/>
      <c r="D31" s="235"/>
      <c r="E31" s="235"/>
      <c r="F31" s="235"/>
      <c r="G31" s="235"/>
      <c r="H31" s="235"/>
      <c r="I31" s="235"/>
      <c r="J31" s="235"/>
    </row>
    <row r="32" spans="1:18">
      <c r="A32" s="212" t="s">
        <v>329</v>
      </c>
      <c r="B32" s="235"/>
      <c r="C32" s="235"/>
      <c r="D32" s="235"/>
      <c r="E32" s="235"/>
      <c r="F32" s="235"/>
      <c r="G32" s="235"/>
      <c r="H32" s="235"/>
      <c r="I32" s="235"/>
      <c r="J32" s="235"/>
    </row>
    <row r="33" spans="1:10">
      <c r="A33" s="214" t="s">
        <v>330</v>
      </c>
      <c r="B33" s="235"/>
      <c r="C33" s="235"/>
      <c r="D33" s="235"/>
      <c r="E33" s="235"/>
      <c r="F33" s="235"/>
      <c r="G33" s="235"/>
      <c r="H33" s="235"/>
      <c r="I33" s="235"/>
      <c r="J33" s="235"/>
    </row>
    <row r="34" spans="1:10">
      <c r="A34" s="214" t="s">
        <v>331</v>
      </c>
      <c r="B34" s="240">
        <v>1.5575085886601809</v>
      </c>
      <c r="C34" s="240">
        <v>0.64412624992087064</v>
      </c>
      <c r="D34" s="240">
        <v>1.3432049224184055</v>
      </c>
      <c r="E34" s="240">
        <v>0.95</v>
      </c>
      <c r="F34" s="240">
        <v>2.1253746253746253</v>
      </c>
      <c r="G34" s="240">
        <v>-0.15488383712215839</v>
      </c>
      <c r="H34" s="240">
        <v>3.4193738535366163</v>
      </c>
      <c r="I34" s="240">
        <v>1.6017713029999996</v>
      </c>
      <c r="J34" s="240">
        <v>2.0265077849999997</v>
      </c>
    </row>
    <row r="35" spans="1:10">
      <c r="A35" s="212"/>
      <c r="B35" s="213"/>
      <c r="C35" s="213"/>
      <c r="D35" s="213"/>
      <c r="E35" s="213"/>
      <c r="F35" s="213"/>
      <c r="G35" s="213"/>
      <c r="H35" s="213"/>
      <c r="I35" s="213"/>
      <c r="J35" s="213"/>
    </row>
    <row r="40" spans="1:10" ht="1.5" customHeight="1"/>
    <row r="41" spans="1:10">
      <c r="A41" s="212"/>
      <c r="B41" s="213"/>
      <c r="C41" s="213"/>
      <c r="D41" s="213"/>
      <c r="E41" s="213"/>
      <c r="F41" s="213"/>
      <c r="G41" s="213"/>
      <c r="H41" s="213"/>
      <c r="I41" s="213"/>
      <c r="J41" s="213"/>
    </row>
    <row r="42" spans="1:10">
      <c r="B42" s="213"/>
      <c r="C42" s="213"/>
      <c r="D42" s="213"/>
      <c r="E42" s="213"/>
      <c r="F42" s="213"/>
      <c r="G42" s="213"/>
      <c r="H42" s="213"/>
      <c r="I42" s="213"/>
      <c r="J42" s="213"/>
    </row>
    <row r="43" spans="1:10">
      <c r="B43" s="213"/>
      <c r="C43" s="213"/>
      <c r="D43" s="213"/>
      <c r="E43" s="213"/>
      <c r="F43" s="213"/>
      <c r="G43" s="213"/>
      <c r="H43" s="213"/>
      <c r="I43" s="213"/>
      <c r="J43" s="213"/>
    </row>
    <row r="44" spans="1:10">
      <c r="B44" s="213"/>
      <c r="C44" s="213"/>
      <c r="D44" s="213"/>
      <c r="E44" s="213"/>
      <c r="F44" s="213"/>
      <c r="G44" s="213"/>
      <c r="H44" s="213"/>
      <c r="I44" s="213"/>
      <c r="J44" s="213"/>
    </row>
    <row r="45" spans="1:10">
      <c r="B45" s="213"/>
      <c r="C45" s="213"/>
      <c r="D45" s="213"/>
      <c r="E45" s="213"/>
      <c r="F45" s="213"/>
      <c r="G45" s="213"/>
      <c r="H45" s="213"/>
      <c r="I45" s="213"/>
      <c r="J45" s="213"/>
    </row>
    <row r="46" spans="1:10">
      <c r="B46" s="213"/>
      <c r="C46" s="213"/>
      <c r="D46" s="213"/>
      <c r="E46" s="213"/>
      <c r="F46" s="213"/>
      <c r="G46" s="213"/>
      <c r="H46" s="213"/>
      <c r="I46" s="213"/>
      <c r="J46" s="213"/>
    </row>
    <row r="47" spans="1:10">
      <c r="B47" s="213"/>
      <c r="C47" s="213"/>
      <c r="D47" s="213"/>
      <c r="E47" s="213"/>
      <c r="F47" s="213"/>
      <c r="G47" s="213"/>
      <c r="H47" s="213"/>
      <c r="I47" s="213"/>
      <c r="J47" s="213"/>
    </row>
    <row r="48" spans="1:10">
      <c r="B48" s="213"/>
      <c r="C48" s="213"/>
      <c r="D48" s="213"/>
      <c r="E48" s="213"/>
      <c r="F48" s="213"/>
      <c r="G48" s="213"/>
      <c r="H48" s="213"/>
      <c r="I48" s="213"/>
      <c r="J48" s="213"/>
    </row>
  </sheetData>
  <pageMargins left="0.70866141732283472" right="0.70866141732283472" top="0.74803149606299213" bottom="0.74803149606299213" header="0.31496062992125984" footer="0.31496062992125984"/>
  <pageSetup paperSize="9" firstPageNumber="11" orientation="landscape" useFirstPageNumber="1" r:id="rId1"/>
  <headerFooter>
    <oddFooter>&amp;L&amp;8______________________________________________________
&amp;"-,Italic"Arion Bank Factbook 31.12.2018&amp;C&amp;8&amp;P&amp;R&amp;8______________________________________________________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2024-03-07T14:21:44Z</cp:lastPrinted>
  <dcterms:created xsi:type="dcterms:W3CDTF">2010-04-14T10:35:17Z</dcterms:created>
  <dcterms:modified xsi:type="dcterms:W3CDTF">2024-03-07T14:23:51Z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-1865998817</vt:i4>
  </property>
  <property fmtid="{D5CDD505-2E9C-101B-9397-08002B2CF9AE}" pid="3" name="_NewReviewCycle">
    <vt:lpwstr/>
  </property>
  <property fmtid="{D5CDD505-2E9C-101B-9397-08002B2CF9AE}" pid="4" name="_EmailSubject">
    <vt:lpwstr>Leiðréttingarhornið</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746158261</vt:i4>
  </property>
</Properties>
</file>